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PM\Products\Arcsight\THub\v3.3.0\"/>
    </mc:Choice>
  </mc:AlternateContent>
  <bookViews>
    <workbookView xWindow="0" yWindow="90" windowWidth="5565" windowHeight="4335"/>
  </bookViews>
  <sheets>
    <sheet name="Introduction" sheetId="7" r:id="rId1"/>
    <sheet name="Change Log" sheetId="8" r:id="rId2"/>
    <sheet name="TH - Known Disk Size" sheetId="16" r:id="rId3"/>
    <sheet name="TH - Known # Workers" sheetId="17" r:id="rId4"/>
    <sheet name="Investigate - Known Disk size" sheetId="15" r:id="rId5"/>
    <sheet name="Investigate - Known # Workers" sheetId="19" r:id="rId6"/>
    <sheet name="NFS Storage" sheetId="6" r:id="rId7"/>
    <sheet name="Master Nodes" sheetId="2" r:id="rId8"/>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36" i="19" l="1"/>
  <c r="B45" i="15"/>
  <c r="B29" i="16" l="1"/>
  <c r="B29" i="19"/>
  <c r="B10" i="19" l="1"/>
  <c r="B10" i="15"/>
  <c r="B10" i="17"/>
  <c r="B42" i="19" l="1"/>
  <c r="B59" i="19"/>
  <c r="B32" i="19"/>
  <c r="B31" i="19"/>
  <c r="B48" i="19" s="1"/>
  <c r="B22" i="19"/>
  <c r="B7" i="19"/>
  <c r="B57" i="17"/>
  <c r="B30" i="17"/>
  <c r="B29" i="17"/>
  <c r="B46" i="17" s="1"/>
  <c r="B27" i="17"/>
  <c r="B28" i="17" s="1"/>
  <c r="B40" i="17" s="1"/>
  <c r="B20" i="17"/>
  <c r="B7" i="17"/>
  <c r="B54" i="19" l="1"/>
  <c r="B56" i="19" s="1"/>
  <c r="B58" i="19" s="1"/>
  <c r="B30" i="19"/>
  <c r="B34" i="19" s="1"/>
  <c r="B60" i="19" s="1"/>
  <c r="B62" i="19" s="1"/>
  <c r="B38" i="19"/>
  <c r="B40" i="19" s="1"/>
  <c r="B50" i="19"/>
  <c r="B52" i="19" s="1"/>
  <c r="B42" i="17"/>
  <c r="B44" i="17" s="1"/>
  <c r="B52" i="17"/>
  <c r="B54" i="17" s="1"/>
  <c r="B34" i="17"/>
  <c r="B48" i="17"/>
  <c r="B50" i="17" s="1"/>
  <c r="B32" i="17"/>
  <c r="B58" i="17" s="1"/>
  <c r="B60" i="17" s="1"/>
  <c r="B64" i="19" l="1"/>
  <c r="B66" i="19" s="1"/>
  <c r="B44" i="19"/>
  <c r="B46" i="19" s="1"/>
  <c r="B62" i="17"/>
  <c r="B64" i="17" s="1"/>
  <c r="B36" i="17"/>
  <c r="B38" i="17" s="1"/>
  <c r="B34" i="15" l="1"/>
  <c r="B33" i="15"/>
  <c r="B37" i="15" s="1"/>
  <c r="B31" i="15"/>
  <c r="B32" i="16"/>
  <c r="B31" i="16"/>
  <c r="B35" i="16" s="1"/>
  <c r="B30" i="16" l="1"/>
  <c r="B32" i="15"/>
  <c r="B22" i="16" l="1"/>
  <c r="B7" i="16"/>
  <c r="B34" i="16" l="1"/>
  <c r="B37" i="16"/>
  <c r="B24" i="15"/>
  <c r="B7" i="15"/>
  <c r="B39" i="16" l="1"/>
  <c r="B36" i="15"/>
  <c r="B39" i="15"/>
  <c r="B54" i="15" s="1"/>
  <c r="B43" i="16" l="1"/>
  <c r="B45" i="16" s="1"/>
  <c r="B47" i="16" s="1"/>
  <c r="B55" i="16"/>
  <c r="B57" i="16" s="1"/>
  <c r="B41" i="16"/>
  <c r="B61" i="16"/>
  <c r="B63" i="16" s="1"/>
  <c r="B65" i="16" s="1"/>
  <c r="B49" i="16"/>
  <c r="B51" i="16" s="1"/>
  <c r="B60" i="15"/>
  <c r="B62" i="15" s="1"/>
  <c r="B41" i="15"/>
  <c r="B50" i="15" l="1"/>
  <c r="B52" i="15" s="1"/>
  <c r="B46" i="15"/>
  <c r="B48" i="15" s="1"/>
  <c r="B59" i="16"/>
  <c r="B53" i="16"/>
  <c r="B56" i="15"/>
  <c r="B58" i="15" s="1"/>
  <c r="B64" i="15"/>
  <c r="B43" i="15"/>
  <c r="E9" i="6"/>
  <c r="E8" i="6"/>
  <c r="E7" i="6"/>
  <c r="E6" i="6"/>
  <c r="E5" i="6"/>
  <c r="B56" i="17"/>
</calcChain>
</file>

<file path=xl/sharedStrings.xml><?xml version="1.0" encoding="utf-8"?>
<sst xmlns="http://schemas.openxmlformats.org/spreadsheetml/2006/main" count="363" uniqueCount="156">
  <si>
    <t>Average CEF Events per Second</t>
  </si>
  <si>
    <t>Average ESM Events per Second</t>
  </si>
  <si>
    <t>All EPS rates</t>
  </si>
  <si>
    <t>Expected Total EPS (Producers + Consumers + Replications)</t>
  </si>
  <si>
    <t>Network (GbE)</t>
  </si>
  <si>
    <t>1, but 10GbE preferred</t>
  </si>
  <si>
    <t>Minimum NFS storage (GB)</t>
  </si>
  <si>
    <t>The values below are calculated</t>
  </si>
  <si>
    <t>NFS Storage Allocation Recommendations</t>
  </si>
  <si>
    <t>CDF NFS Volume claim</t>
  </si>
  <si>
    <t>Your NFS volume</t>
  </si>
  <si>
    <t>arcsight-volume</t>
  </si>
  <si>
    <r>
      <t>{NFS_ROOT_FOLDER}</t>
    </r>
    <r>
      <rPr>
        <sz val="11"/>
        <color rgb="FF333333"/>
        <rFont val="Calibri"/>
        <family val="2"/>
      </rPr>
      <t>/arcsight</t>
    </r>
  </si>
  <si>
    <t>itom-vol-claim</t>
  </si>
  <si>
    <t>db-single-vol</t>
  </si>
  <si>
    <r>
      <t>{NFS_ROOT_FOLDER}</t>
    </r>
    <r>
      <rPr>
        <sz val="11"/>
        <color rgb="FF333333"/>
        <rFont val="Calibri"/>
        <family val="2"/>
      </rPr>
      <t>/itom/db</t>
    </r>
  </si>
  <si>
    <t>itom-logging-vol</t>
  </si>
  <si>
    <r>
      <t>{NFS_ROOT_FOLDER}</t>
    </r>
    <r>
      <rPr>
        <sz val="11"/>
        <color rgb="FF333333"/>
        <rFont val="Calibri"/>
        <family val="2"/>
      </rPr>
      <t>/itom/logging</t>
    </r>
  </si>
  <si>
    <t>db-backup-vol</t>
  </si>
  <si>
    <r>
      <t>{NFS_ROOT_FOLDER}</t>
    </r>
    <r>
      <rPr>
        <sz val="11"/>
        <color rgb="FF333333"/>
        <rFont val="Calibri"/>
        <family val="2"/>
      </rPr>
      <t>/itom/db_backup</t>
    </r>
  </si>
  <si>
    <t>Total to Allocate (GB)</t>
  </si>
  <si>
    <t>Total NFS available storage (GB)</t>
  </si>
  <si>
    <t>Percentage to allocate for this volume</t>
  </si>
  <si>
    <r>
      <t>{NFS_ROOT_FOLDER}</t>
    </r>
    <r>
      <rPr>
        <sz val="11"/>
        <color rgb="FF333333"/>
        <rFont val="Calibri"/>
        <family val="2"/>
      </rPr>
      <t>/itom/itom_vol</t>
    </r>
  </si>
  <si>
    <t>Change Description</t>
  </si>
  <si>
    <t>Date</t>
  </si>
  <si>
    <t>Comments</t>
  </si>
  <si>
    <t>Changed default compression factor to 1-to-1 for all CEF, CEB and ESM event types</t>
  </si>
  <si>
    <t>Per R&amp;D guidance, compression of these events changed from 1/3 to 1, or no compression</t>
  </si>
  <si>
    <t>Added optimal Partition calculations for both ESM and non-ESM event processing in both Transformation Hub and Investigate tabs</t>
  </si>
  <si>
    <t>ESM setting must be set to 6 partitions if ESM processing is required</t>
  </si>
  <si>
    <t xml:space="preserve">Set to the number of Topics, typically 1 or 0.  A '1' indicates the topic will be used for calculations, a '0' indicates it is disabled and will not be used for calculations.
Default topic : th-cef.  If you add Investigate Avro, you can create new topics for routing </t>
  </si>
  <si>
    <t>Set to the number of Topics, typically 1 or 0.  A '1' indicates the topic will be used for calculations, a '0' indicates it is disabled and will not be used for calculations.
Default topic : th-binary_esm.  More topics can be added</t>
  </si>
  <si>
    <t>Set to the number of Topics, typically 1 or 0.  A '1' indicates the topic will be used for calculations, a '0' indicates it is disabled and will not be used for calculations.
Default topic : th-syslog.  Raw syslog format</t>
  </si>
  <si>
    <t xml:space="preserve">Number of Nodes in the Vertica Cluster </t>
  </si>
  <si>
    <t>Specifies the number of nodes in the Vertica cluster.  Used to calculate the number of Kafka Partitions per Topic</t>
  </si>
  <si>
    <t>Review rows 3 through 22 and change these input fields accordingly</t>
  </si>
  <si>
    <t>Compression Factor (N/1)</t>
  </si>
  <si>
    <t>It is assumed that all Worker Nodes have the same size disk capacity.</t>
  </si>
  <si>
    <t>Typical  Connector in Transformation Hub (CTH) event size</t>
  </si>
  <si>
    <t>Average CTH Events per Second</t>
  </si>
  <si>
    <t>Set to the number of Topics, typically 1 or 0.  A '1' indicates the topic will be used for calculations, a '0' indicates it is disabled and will not be used for calculations.
Default topic: th-arcsight-avro.  CEF-to-Avro transformation has no compression</t>
  </si>
  <si>
    <t>Typical event size (batched binary event)</t>
  </si>
  <si>
    <t>Typical CEF event size. The same size used for Investigate's  Avro topic, but without compressiom</t>
  </si>
  <si>
    <t>Added calculation for the number of Worker Nodes needed based on the disk capacity of each Worker Node + a percentage disk buffer capacity
Changed CEB references to CTH, updated miscellaneous defintions</t>
  </si>
  <si>
    <t>Assume there is N-to-1 compression for CEF, CTH and ESM events.  The expectation is 3-to-1 using GZIP.  Avro events are never compressed.</t>
  </si>
  <si>
    <t>Reverted compression changes back to 3-to-1 ratio for all topics except Investigate's Avro</t>
  </si>
  <si>
    <t>TH compression uses a 3-to-1 default based on GZIP algorithm experiences</t>
  </si>
  <si>
    <t xml:space="preserve">Worker Node disk capacity must be of a sufficient size to hold at least 1 day's data based on the EPS rates entered </t>
  </si>
  <si>
    <t>Corrected Transformation Hub CEF Partitions required when the value calculated was less than 1 Partition.  Set to a minimum of 6 partitions.
Validated that Worker Node Disk Capacity was sufficient to handle EPS rates.  If disk capacity is too small then an error is shown.</t>
  </si>
  <si>
    <t>Average ESM Binary Security Event Size, in Bytes</t>
  </si>
  <si>
    <t>Disk Capacity on Each Worker Node, in Gigabytes</t>
  </si>
  <si>
    <t>Disk capacity overhead per Worker Node, in gigabytes</t>
  </si>
  <si>
    <t>Specifies the number of events sent to each ESM Topic</t>
  </si>
  <si>
    <t>Specifies the number of events sent to each CTH Topic.</t>
  </si>
  <si>
    <t>Available disk storage per Worker Node minus disk capacity overhead, in gigabytes</t>
  </si>
  <si>
    <t>Total disk storage required in the cluster, in gigabytes.</t>
  </si>
  <si>
    <t xml:space="preserve">Additional Worker Nodes </t>
  </si>
  <si>
    <t>Specifies the disk capacity of Kafka Worker Nodes.  It is expected that every Worker Node has identical disk capacity across the entire cluster.
A minimum of 50GB is required for each Worker Node and the disk capacity, minus Kafka and TH storage requirements, must be able to hold all events based on the Retention Period specified below.</t>
  </si>
  <si>
    <t>Number of Transformation Hub Kafka Worker Nodes Needed based on the Disk Capacity on Each Node</t>
  </si>
  <si>
    <r>
      <t xml:space="preserve">Number of hours to keep events in the Kafka message queues.  The default is 2 days.
Enter this value into the configuration property:
</t>
    </r>
    <r>
      <rPr>
        <i/>
        <sz val="11"/>
        <color rgb="FF7030A0"/>
        <rFont val="Calibri"/>
        <family val="2"/>
        <scheme val="minor"/>
      </rPr>
      <t xml:space="preserve"> - 'Hours to keep Kafka logs'</t>
    </r>
  </si>
  <si>
    <t>Number of CEF Topics</t>
  </si>
  <si>
    <t>Number of ESM Topics</t>
  </si>
  <si>
    <t>Number of CTH Topics</t>
  </si>
  <si>
    <t xml:space="preserve">Number of Avro Topics (Investigate) </t>
  </si>
  <si>
    <t>Average CEF Event Size, in Bytes</t>
  </si>
  <si>
    <t>Average CTH Raw Event Size, in Bytes</t>
  </si>
  <si>
    <t>Kafka Log Retention Period, in Hours</t>
  </si>
  <si>
    <t>Kafka Topic Replication Factor</t>
  </si>
  <si>
    <t xml:space="preserve">Total CEF storage required across the entire cluster, in gigabytes </t>
  </si>
  <si>
    <t>Total ESM storage required for the cluster, in gigabytes</t>
  </si>
  <si>
    <t>Total CTH storage required across the entire the cluster, in gigabytes</t>
  </si>
  <si>
    <t>Total Avro Investigate storage required across the entire cluster, in gigabytes</t>
  </si>
  <si>
    <t>Worker Nodes must not run short of free disk space.  This figure is deducted from the available disk storage on each Worker Node.
A maximum of 100GB of free disk space in folder /opt is required on each Worker Node to account for the CDF pod hard eviction policy, which is about 15% of a 667GB disk volume.  When Worker Node disk capacity is defined as less than 667GB, 15% of the available total disk space will be allocated to this pod eviction buffer on each Worker Node.  
The upgrade process requires 37GB of disk space per Worker Node and is added to this total.
Additional disk space overhead is needed for the CEF, ESM, CTH and Avro Kafka log files based on their segment size which is typically about .2% of the total /opt disk space requirements.</t>
  </si>
  <si>
    <t>As a best practice, set this value to zero to ensure there is always sufficient disk space availalble to the cluster.  After modeling with no additional Worker Nodes is successful, add additional Worker Nodes as needed.
To ensure there is sufficient disk space and processing power available  during upgrade and maintenance processing for the cluster, it is recommended that a minimum of 1 additional Worker Node be added to the cluster to account for bringing a Worker Node offline for maintenance.
Also, if the disk capacity on each worker node is insufficient to hold all data in the cluster based on the EPS rates, retention period and other calculations, then you may optionally add additional Worker Nodes to account for the disk space deficiency.  Or, you may increase the amount of available disk space in each Worker Node.</t>
  </si>
  <si>
    <t xml:space="preserve">When tuning Transformation Hub for CTH data, this defines the optimal number of Partitions for the CTH Topic only.
</t>
  </si>
  <si>
    <t>Number of Partitions for CEF and Avro Topics</t>
  </si>
  <si>
    <t>Number of Partitions for the ESM Topic</t>
  </si>
  <si>
    <t>Number of Partitions for the CTH Topic</t>
  </si>
  <si>
    <r>
      <t xml:space="preserve">When tuning Transformation Hub for syslog or other CEF data, this defines the optimal number of Kafka partitions for each Topic.
The optimal number of partitions = desired throughput / partition speed.  Conservatively, you can estimate that a single partition for a single Kafka topic runs at 10 MB/s * Replication Factor.
Transformation Hub default is 6 partitions, which is the minimum recommended, but this must typically be increased to achieve optimal ingestion performance.  Enter this value into the configuration property:
</t>
    </r>
    <r>
      <rPr>
        <i/>
        <sz val="11"/>
        <color rgb="FF7030A0"/>
        <rFont val="Calibri"/>
        <family val="2"/>
        <scheme val="minor"/>
      </rPr>
      <t xml:space="preserve"> - '# of Partitions assigned to each Kafka topic'</t>
    </r>
  </si>
  <si>
    <t>Number of Partitions for the CEF Topic</t>
  </si>
  <si>
    <t>Disk storage required across all Worker Nodes in the Kafka cluster to hold all events based on the retention period and other factors</t>
  </si>
  <si>
    <t>Disk storage available summed across all Worker Nodes excluding disk overhead, in gigabytes</t>
  </si>
  <si>
    <t>Disk storage available across all Worker Nodes in the Kafka cluster minus the calculated free disk space overhead requirements.
If the available disk space on each Worker Node is insuffiicent to hold a all data in the cluster for the retention period specified, an error message is shown.  Either add additional Worker Nodes or increase the amount of disk storage availble to each Worker Node.</t>
  </si>
  <si>
    <t xml:space="preserve">Specifies the number of Kafka Worker Nodes that are required based on the choices made in the input parameters above (Additional Worker Nodes, EPS rates, average event sizes, retention period, ...).  
A minimum of one additional Worker Node is recommended to account for rolling upgrades during maintenance cycles when a single node is stopped, upgraded and then restarted.
Add Worker Nodes during the installation of Transformation Hub </t>
  </si>
  <si>
    <t>Available disk storage on each Worker Node after subtracting disk capacity overhead.
If the available disk space on each Worker Node is insuffiicent to hold a single day's data, an error message is shown.  Either add additional Worker Nodes or increase the amount of disk storage availble to each Worker Node.</t>
  </si>
  <si>
    <t xml:space="preserve">Set to the number of Topics, typically 1 or 0.  A '1' indicates the topic will be used for calculations, a '0' indicates it is disabled and will not be used for calculations.
The CEF Topic is required for Investigate.
Default topic : th-cef.  If you add Investigate Avro, you can create new topics for routing </t>
  </si>
  <si>
    <t>Set to the number of Topics, typically 1 or 0.  A '1' indicates the topic will be used for calculations, a '0' indicates it is disabled and will not be used for calculations.
The Avro topic is required for Investigate.
Default topic: th-arcsight-avro.  CEF-to-Avro transformation has no compression</t>
  </si>
  <si>
    <t>Expected I/O throughput of disk devices on Worker Nodes.  The default is 10MB/second, which is a conservative estimate for sequential read/write processing.
Affects the number of Partitions and Partition size requirements.  Faster disks result in fewer Partitions needed with an increase in the Partition size</t>
  </si>
  <si>
    <t>Worker Node expected Kafka disk I/O speed, in MB/second</t>
  </si>
  <si>
    <t>Number of Partitions for the Avro Topic</t>
  </si>
  <si>
    <r>
      <t xml:space="preserve">When tuning Transformation Hub for syslog or other Avro data, this defines the optimal number of Kafka partitions for each Topic.
The optimal number of partitions = desired throughput / partition speed.  Conservatively, you can estimate that a single partition for a single Kafka topic runs at 10 MB/s * Replication Factor.
Transformation Hub default is 6 partitions, which is the minimum recommended, but this must typically be increased to achieve optimal ingestion performance.  Enter this value into the configuration property:
</t>
    </r>
    <r>
      <rPr>
        <i/>
        <sz val="11"/>
        <color rgb="FF7030A0"/>
        <rFont val="Calibri"/>
        <family val="2"/>
        <scheme val="minor"/>
      </rPr>
      <t xml:space="preserve"> - '# of Partitions assigned to each Kafka topic'</t>
    </r>
  </si>
  <si>
    <t>Specifies the number of events sent to each CEF Topic.  This rate is also used for Investigate's Avro Kafka Topic</t>
  </si>
  <si>
    <t>Specifies the number of Kafka Topic replicas.  A minimum of 1 Topic Replica is required.  The default is 2 replicas of each Topic.  Setting this to 2 or more provides failover.</t>
  </si>
  <si>
    <t>Disk Storage for each CEF Partition, in Gigabytes</t>
  </si>
  <si>
    <t>Translated Disk Storage for each CEF Partition, in Bytes</t>
  </si>
  <si>
    <t>Disk Storage for each Avro Partition, in Gigabytes</t>
  </si>
  <si>
    <t>Translated Disk Storage for each Avro Partition, in Bytes</t>
  </si>
  <si>
    <t>Disk Storage for each ESM Partition, in Gigabytes</t>
  </si>
  <si>
    <t>Translated Disk Storage for each ESM Partition, in Bytes</t>
  </si>
  <si>
    <t>Disk Storage for each CTH Partition, in Gigabytes</t>
  </si>
  <si>
    <t>Translated Disk Storage for each CTH Partition, in Bytes</t>
  </si>
  <si>
    <t>Calculated using the compression ratio and the Replication Factor.</t>
  </si>
  <si>
    <t>Calculated using the compression ratio  and the Replication Factor.
CTH data that is forwarded to CEF/ESM topics.  This must be accounted for when selecting CEF/ESM EPS rates.</t>
  </si>
  <si>
    <t xml:space="preserve">Number of Worker Nodes </t>
  </si>
  <si>
    <t>Specify the number of Worker Nodes that the workload in the cluster will be shared amongst.  A minimum of 1 Worker Node is required.
To ensure there is sufficient disk space and processing power available  during upgrade and maintenance processing for the cluster, it is recommended that a minimum of 1 additional Worker Node be added to the cluster to account for bringing a Worker Node offline for maintenance.
Also, if the disk capacity on each worker node is insufficient to hold all data in the cluster based on the EPS rates, retention period and other calculations, then you may optionally add additional Worker Nodes to account for the disk space deficiency.  Or, you may increase the amount of available disk space in each Worker Node.</t>
  </si>
  <si>
    <t>Minimum required disk storage on each Worker Node, including overhead, in gigabytes</t>
  </si>
  <si>
    <t>Disk storage available summed across all Worker Nodes, including disk overhead, in gigabytes</t>
  </si>
  <si>
    <t>Disk capacity required on each Worker Node to store Partitions, excluding disk storage overhead, in gigabytes</t>
  </si>
  <si>
    <r>
      <t xml:space="preserve">Minimum required disk storage on each Worker Node after adding disk capacity overhead.
This value includes disk storage overhead required to suppor upgrades and other processing.  
</t>
    </r>
    <r>
      <rPr>
        <b/>
        <i/>
        <sz val="11"/>
        <color rgb="FF7030A0"/>
        <rFont val="Calibri"/>
        <family val="2"/>
        <scheme val="minor"/>
      </rPr>
      <t>This value represents the minimum required disk size needed on each Worker Node.</t>
    </r>
    <r>
      <rPr>
        <i/>
        <sz val="11"/>
        <color theme="1" tint="0.34998626667073579"/>
        <rFont val="Calibri"/>
        <family val="2"/>
        <scheme val="minor"/>
      </rPr>
      <t xml:space="preserve">
If the available disk space on each Worker Node is insuffiicent to hold a single day's data, an error message is shown.  Either add additional Worker Nodes or increase the amount of disk storage availble to each Worker Node.</t>
    </r>
  </si>
  <si>
    <t>Disk storage available across all Worker Nodes in the Kafka cluster, including the calculated free disk space overhead requirements.</t>
  </si>
  <si>
    <t>Translated disk storage for each CTH Partition, in bytes</t>
  </si>
  <si>
    <t>Disk storage for each CTH Partition, in gigabytes</t>
  </si>
  <si>
    <t>Translated disk storage for each ESM Partition, in bytes</t>
  </si>
  <si>
    <t>Disk storage for each ESM Partition, in gigabytes</t>
  </si>
  <si>
    <t>Translated disk storage for each Avro Partition, in bytes</t>
  </si>
  <si>
    <t>Disk storage for each Avro Partition, in gigabytes</t>
  </si>
  <si>
    <t>Translated disk storage for each CEF Partition, in bytes</t>
  </si>
  <si>
    <t>Disk storage for each CEF Partition, in gigabytes</t>
  </si>
  <si>
    <r>
      <t xml:space="preserve">Calculates the optimal number of Topic Partitions for the Vertica Kafka Scheduler.
Set to the number of Vertica nodes * 24 * Replication Factor.  Based on the mathematical model of 12 Kafka Scheduler Workers per Vertica Node * 2 Vertica Streams per Worker.  
Transformation Hub default is 6 partitions but this must be changed for Investigate to achieve optimal ingestion performance.  Enter this value into the configuration property:
</t>
    </r>
    <r>
      <rPr>
        <i/>
        <sz val="11"/>
        <color rgb="FF7030A0"/>
        <rFont val="Calibri"/>
        <family val="2"/>
        <scheme val="minor"/>
      </rPr>
      <t xml:space="preserve"> - '# of Partitions assigned to each Kafka topic'</t>
    </r>
  </si>
  <si>
    <t>Disk capacity required on each Worker Node to support EPS throughput requirements based on the number of Partitions required and their size.  A minimum of 50 GB is required.
This value excludes disk storage overhead required to support upgrades and other processing.  Do not use this value as the required disk size.
It is expected that every Worker Node has identical disk capacity across the entire cluster.</t>
  </si>
  <si>
    <t>Disk capacity required on each Worker Node to support EPS throughput requirements based on the number of Partitions required and their size.  A minimum of 50 GB is required.  
This value excludes disk storage overhead required to support upgrades and other processing.  Do not use this value as the required disk size.
It is expected that every Worker Node has identical disk capacity across the entire cluster.</t>
  </si>
  <si>
    <t>Investigate  - Known # of Worker Nodes - Kafka Data Disk Storage Size Calculator</t>
  </si>
  <si>
    <t>Investigate  - Known Disk Size - Kafka Data Disk Storage Size Calculator</t>
  </si>
  <si>
    <t>Transformation Hub  - Known # of Worker Nodes - Kafka Data Disk Storage Size Calculator</t>
  </si>
  <si>
    <t>Transformation Hub  - Known Disk Size - Kafka Data Disk Storage Size Calculator</t>
  </si>
  <si>
    <t>Two new worksheets were added for TH and Investigate to model the optimal disk space capacity when the number of Worker nodes is known.  The other two worksheets for TH and Investigate model how many Worker Nodes are required when the disk capacity on each Worker Node is known.
In each of these worksheets, the following changes were made:
  1)  An input field for 'Additional Worker Nodes' has been added
  2)  For the TH worksheet only, the disk I/O rate is parameterized.
  3)  Kafka retention period changed from days to hours
  4)  Additional error checking has been added to ensure there is sufficient free disk space
  5)  Disk space overhead per Worker Node is now calculated and factored
  6)  The sequence of calculations has been altered to be flow better
  7)  Partition counts and sizing for CEF and Avro, ESM and CTH Topics are now calculated separately
The Worker Nodes worksheet was deleted as it added little value</t>
  </si>
  <si>
    <t>If you are modeling calculations for a Transformation Hub installation without Investigate, then fill in the input fields in a Transformation Hub worksheet only.</t>
  </si>
  <si>
    <t>If you are modeling calculations for an Investigate installation, which requires Transformation Hub, then fill in the input fields in an Investigate worksheet.</t>
  </si>
  <si>
    <r>
      <t xml:space="preserve">There are two worksheets available for modeling Transformation Hub disk sizing.  
</t>
    </r>
    <r>
      <rPr>
        <b/>
        <i/>
        <sz val="11"/>
        <color theme="1" tint="0.34998626667073579"/>
        <rFont val="Calibri"/>
        <family val="2"/>
        <scheme val="minor"/>
      </rPr>
      <t>TH - Known Disk Size</t>
    </r>
    <r>
      <rPr>
        <i/>
        <sz val="11"/>
        <color theme="1" tint="0.34998626667073579"/>
        <rFont val="Calibri"/>
        <family val="2"/>
        <scheme val="minor"/>
      </rPr>
      <t xml:space="preserve"> - Use this worksheet when you know the maximum disk capacity on each Worker Node and wish to calculate the number of Worker Nodes required to store all of the events for the Kafka cluster based on known or approximated CEF, Avro, ESM and CTH Events per Second (EPS) throughput rates.
</t>
    </r>
    <r>
      <rPr>
        <b/>
        <i/>
        <sz val="11"/>
        <color theme="1" tint="0.34998626667073579"/>
        <rFont val="Calibri"/>
        <family val="2"/>
        <scheme val="minor"/>
      </rPr>
      <t>TH - Known # Workers</t>
    </r>
    <r>
      <rPr>
        <i/>
        <sz val="11"/>
        <color theme="1" tint="0.34998626667073579"/>
        <rFont val="Calibri"/>
        <family val="2"/>
        <scheme val="minor"/>
      </rPr>
      <t xml:space="preserve"> - Use this worksheet when you know the number of Worker Nodes you will deploy and wish to calculate the required disk capacity on each Worker Node to store all of the events for the Kafka cluster based on known or approximated CEF, Avro, ESM and CTH Events per Second (EPS) throughput rates.</t>
    </r>
  </si>
  <si>
    <r>
      <t>There are two worksheets available for modeling Transformation Hub disk sizing.  
Investigate</t>
    </r>
    <r>
      <rPr>
        <b/>
        <i/>
        <sz val="11"/>
        <color theme="1" tint="0.34998626667073579"/>
        <rFont val="Calibri"/>
        <family val="2"/>
        <scheme val="minor"/>
      </rPr>
      <t xml:space="preserve"> - Known Disk Size</t>
    </r>
    <r>
      <rPr>
        <i/>
        <sz val="11"/>
        <color theme="1" tint="0.34998626667073579"/>
        <rFont val="Calibri"/>
        <family val="2"/>
        <scheme val="minor"/>
      </rPr>
      <t xml:space="preserve"> - Use this worksheet when you know the maximum disk capacity on each Worker Node and wish to calculate the number of Worker Nodes required to store all of the events for the Kafka cluster based on known or approximated CEF, Avro, ESM and CTH Events per Second (EPS) throughput rates.
Investigate</t>
    </r>
    <r>
      <rPr>
        <b/>
        <i/>
        <sz val="11"/>
        <color theme="1" tint="0.34998626667073579"/>
        <rFont val="Calibri"/>
        <family val="2"/>
        <scheme val="minor"/>
      </rPr>
      <t xml:space="preserve"> - Known # Workers</t>
    </r>
    <r>
      <rPr>
        <i/>
        <sz val="11"/>
        <color theme="1" tint="0.34998626667073579"/>
        <rFont val="Calibri"/>
        <family val="2"/>
        <scheme val="minor"/>
      </rPr>
      <t xml:space="preserve"> - Use this worksheet when you know the number of Worker Nodes you will deploy and wish to calculate the required disk capacity on each Worker Node to store all of the events for the Kafka cluster based on known or approximated CEF, Avro, ESM and CTH Events per Second (EPS) throughput rates.</t>
    </r>
  </si>
  <si>
    <t>Review rows 3 through 24 and change these input fields accordingly</t>
  </si>
  <si>
    <t>Review rows 3 through 26 and change these input fields accordingly</t>
  </si>
  <si>
    <t xml:space="preserve">Number of Avro Topics - Required for Investigate </t>
  </si>
  <si>
    <t>Calculated using the Replication Factor.  There is never compression for this topic
Testing has proven that Avro disk sizes are typically between 70% and 100% of the compressed CEF disk storage size.  Conservatively, use 100% of CEF disk sizing based on an expected compression of 3-to-1 for CEF events.</t>
  </si>
  <si>
    <t>Worker Nodes must not run short of free disk space.  This figure is deducted from the available disk storage on each Worker Node to account for applying hotfixes or upgrading to a new release.  For clusters that will be upgraded, a minimum of 37 GB is required.
If the cluster is never going to be upgraded, set this value to zero and additional disk space will be made available on each Worker Node.</t>
  </si>
  <si>
    <t>Disk capacity overhead per Worker Node required for application upgrades, in gigabytes</t>
  </si>
  <si>
    <t>Changes were made to provide modeling flexibility, improved calculation accuracy and improved error handling.  Error handling was improved to address small disk sizes, misssing or erroneous input fields, etc ... 
For clusters that will never be upgraded or patched, the upgrade overhead disk size has been parameterized and can be set to zero.</t>
  </si>
  <si>
    <r>
      <t xml:space="preserve">When tuning Transformation Hub for ESM data, this defines the optimal number of Topic Partitions for the ESM Topic only.
The optimal number of partitions = desired throughput / partition speed.  Conservatively, you can estimate that a single partition for a single Kafka topic runs at 10 MB/s * Replication Factor.
Transformation Hub default is 6 partitions, which is the minimum recommended, but this must typically be increased to achieve optimal ingestion performance.  Enter this value into the configuration property:
</t>
    </r>
    <r>
      <rPr>
        <i/>
        <sz val="11"/>
        <color rgb="FF7030A0"/>
        <rFont val="Calibri"/>
        <family val="2"/>
        <scheme val="minor"/>
      </rPr>
      <t xml:space="preserve"> - '# of Partitions assigned to each Kafka topic'</t>
    </r>
  </si>
  <si>
    <t>Changes made to all TH worksheets</t>
  </si>
  <si>
    <r>
      <t xml:space="preserve">Defines the disk storage allocated to each CEF Topic Partition and is used as the Kafka retention log size, which is based on per Partition sizing, and not per Topic
For TH version 3.1.0 and below, use this value in the installation configuration properties which are entered in bytes, not gigabytes:
</t>
    </r>
    <r>
      <rPr>
        <i/>
        <sz val="11"/>
        <color rgb="FF7030A0"/>
        <rFont val="Calibri"/>
        <family val="2"/>
        <scheme val="minor"/>
      </rPr>
      <t xml:space="preserve">  - 'Kafka log retention size per partition for Vertica Avro Topic'
  - 'Kafka log etention size per partition per topic'.</t>
    </r>
  </si>
  <si>
    <r>
      <t xml:space="preserve">Defines the disk storage allocated to each Vertica Avro Topic Partition and is used as the Kafka retention log size, which is based on per Partition sizing, and not per Topic
For TH version 3.1.0 and below, use this value in the installation configuration properties which are entered in bytes, not gigabytes:
</t>
    </r>
    <r>
      <rPr>
        <i/>
        <sz val="11"/>
        <color rgb="FF7030A0"/>
        <rFont val="Calibri"/>
        <family val="2"/>
        <scheme val="minor"/>
      </rPr>
      <t xml:space="preserve">  - 'Kafka log retention size per partition for Vertica Avro Topic'
  - 'Kafka log etention size per partition per topic'.</t>
    </r>
  </si>
  <si>
    <r>
      <t xml:space="preserve">Defines the disk storage allocated to each CEF Topic Partition and is used as the Kafka retention log size, which is based on per Partition sizing, and not per Topic.
For TH version 3.2.0 and above, use this value in the installation configuration properties, which are entered in gigabytes: 
- </t>
    </r>
    <r>
      <rPr>
        <i/>
        <sz val="11"/>
        <color rgb="FF7030A0"/>
        <rFont val="Calibri"/>
        <family val="2"/>
        <scheme val="minor"/>
      </rPr>
      <t>'Kafka log retention size per partition for Vertica Avro Topic'
- 'Kafka log retention size per partition per topic'</t>
    </r>
    <r>
      <rPr>
        <i/>
        <sz val="11"/>
        <color theme="1" tint="0.34998626667073579"/>
        <rFont val="Calibri"/>
        <family val="2"/>
        <scheme val="minor"/>
      </rPr>
      <t xml:space="preserve"> 
If the available disk space on each Worker Node is insuffiicent to hold a single day's data, an error message is shown.  Either add additional Worker Nodes or increase the amount of disk storage availble to each Worker Node.</t>
    </r>
  </si>
  <si>
    <r>
      <t xml:space="preserve">Defines the disk storage allocated to each Vertica Avro Topic Partition and is used as the Kafka retention log size, which is based on per Partition sizing, and not per Topic.
For TH version 3.2.0 and above, use this value in the installation configuration properties, which are entered in gigabytes: 
- </t>
    </r>
    <r>
      <rPr>
        <i/>
        <sz val="11"/>
        <color rgb="FF7030A0"/>
        <rFont val="Calibri"/>
        <family val="2"/>
        <scheme val="minor"/>
      </rPr>
      <t>'Kafka log retention size per partition for Vertica Avro Topic'
- 'Kafka log retention size per partition per topic'</t>
    </r>
    <r>
      <rPr>
        <i/>
        <sz val="11"/>
        <color theme="1" tint="0.34998626667073579"/>
        <rFont val="Calibri"/>
        <family val="2"/>
        <scheme val="minor"/>
      </rPr>
      <t xml:space="preserve"> 
If the available disk space on each Worker Node is insuffiicent to hold a single day's data, an error message is shown.  Either add additional Worker Nodes or increase the amount of disk storage availble to each Worker Node.</t>
    </r>
  </si>
  <si>
    <r>
      <t xml:space="preserve">Defines the disk storage allocated to each ESM Topic Partition and is used as the Kafka retention log size, which is based on per Partition sizing, and not per Topic.
For TH version 3.2.0 and above, use this value in the installation configuration properties, which are entered in gigabytes: 
- </t>
    </r>
    <r>
      <rPr>
        <i/>
        <sz val="11"/>
        <color rgb="FF7030A0"/>
        <rFont val="Calibri"/>
        <family val="2"/>
        <scheme val="minor"/>
      </rPr>
      <t>'Kafka log retention size per partition for Vertica Avro Topic'
- 'Kafka log retention size per partition per topic'</t>
    </r>
    <r>
      <rPr>
        <i/>
        <sz val="11"/>
        <color theme="1" tint="0.34998626667073579"/>
        <rFont val="Calibri"/>
        <family val="2"/>
        <scheme val="minor"/>
      </rPr>
      <t xml:space="preserve"> 
If the available disk space on each Worker Node is insuffiicent to hold a single day's data, an error message is shown.  Either add additional Worker Nodes or increase the amount of disk storage availble to each Worker Node.</t>
    </r>
  </si>
  <si>
    <r>
      <t xml:space="preserve">Defines the disk storage allocated to each ESM Topic Partition and is used as the Kafka retention log size, which is based on per Partition sizing, and not per Topic
For TH version 3.1.0 and below, use this value in the installation configuration properties which are entered in bytes, not gigabytes:
</t>
    </r>
    <r>
      <rPr>
        <i/>
        <sz val="11"/>
        <color rgb="FF7030A0"/>
        <rFont val="Calibri"/>
        <family val="2"/>
        <scheme val="minor"/>
      </rPr>
      <t xml:space="preserve">  - 'Kafka log retention size per partition for Vertica Avro Topic'
  - 'Kafka log etention size per partition per topic'.</t>
    </r>
  </si>
  <si>
    <r>
      <t xml:space="preserve">Defines the disk storage allocated to each CTH Topic Partition and is used as the Kafka retention log size, which is based on per Partition sizing, and not per Topic.
For TH version 3.2.0 and above, use this value in the installation configuration properties, which are entered in gigabytes: 
- </t>
    </r>
    <r>
      <rPr>
        <i/>
        <sz val="11"/>
        <color rgb="FF7030A0"/>
        <rFont val="Calibri"/>
        <family val="2"/>
        <scheme val="minor"/>
      </rPr>
      <t>'Kafka log retention size per partition for Vertica Avro Topic'
- 'Kafka log retention size per partition per topic'</t>
    </r>
    <r>
      <rPr>
        <i/>
        <sz val="11"/>
        <color theme="1" tint="0.34998626667073579"/>
        <rFont val="Calibri"/>
        <family val="2"/>
        <scheme val="minor"/>
      </rPr>
      <t xml:space="preserve"> 
If the available disk space on each Worker Node is insuffiicent to hold a single day's data, an error message is shown.  Either add additional Worker Nodes or increase the amount of disk storage availble to each Worker Node.</t>
    </r>
  </si>
  <si>
    <r>
      <t xml:space="preserve">Defines the disk storage allocated to each CTH Topic Partition and is used as the Kafka retention log size, which is based on per Partition sizing, and not per Topic
For TH version 3.1.0 and below, use this value in the installation configuration properties which are entered in bytes, not gigabytes:
</t>
    </r>
    <r>
      <rPr>
        <i/>
        <sz val="11"/>
        <color rgb="FF7030A0"/>
        <rFont val="Calibri"/>
        <family val="2"/>
        <scheme val="minor"/>
      </rPr>
      <t xml:space="preserve">  - 'Kafka log retention size per partition for Vertica Avro Topic'
  - 'Kafka log etention size per partition per topic'.</t>
    </r>
  </si>
  <si>
    <t>2/2 (4 cores in total)</t>
  </si>
  <si>
    <t>Minimum Memory Size (GB)</t>
  </si>
  <si>
    <t>Minimum CPUs/Cores per CPU
2.3GHz minimum</t>
  </si>
  <si>
    <t>Minimum and Recommended Disk Space on all Master Nodes (GB)
10K+ RPM SAS or SSD
(RAID 10)</t>
  </si>
  <si>
    <t>Minimum 100
Recommended 256</t>
  </si>
  <si>
    <t>Changed Kafka and Vertica log files sizes from bytes to GB to reflect the changes made to do this conversion internally within the configuration process.
Minor wording changes to the Master Nodes worksheet</t>
  </si>
  <si>
    <t>Removed the limitation of having only 6 Partitions for an ESM Topic.  ESM Partition recommendations are now calculated similarly to the CEF Topic Partition recommendations, which are based on disk I/O speeds.</t>
  </si>
  <si>
    <t>Investigate worksheets did not factor in the Kafka replication factor into the # of Partitions calculation for the Vertica C2AV processing</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</si>
</sst>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i/>
      <sz val="11"/>
      <color theme="1" tint="0.34998626667073579"/>
      <name val="Calibri"/>
      <family val="2"/>
      <scheme val="minor"/>
    </font>
    <font>
      <b/>
      <sz val="11"/>
      <color rgb="FF0070C0"/>
      <name val="Calibri"/>
      <family val="2"/>
      <scheme val="minor"/>
    </font>
    <font>
      <sz val="11"/>
      <color theme="1" tint="0.34998626667073579"/>
      <name val="Calibri"/>
      <family val="2"/>
      <scheme val="minor"/>
    </font>
    <font>
      <sz val="11"/>
      <color theme="0"/>
      <name val="Calibri"/>
      <family val="2"/>
      <scheme val="minor"/>
    </font>
    <font>
      <sz val="14"/>
      <color theme="0"/>
      <name val="Calibri"/>
      <family val="2"/>
      <scheme val="minor"/>
    </font>
    <font>
      <sz val="12"/>
      <color theme="1"/>
      <name val="Calibri"/>
      <family val="2"/>
      <scheme val="minor"/>
    </font>
    <font>
      <b/>
      <sz val="16"/>
      <color theme="0"/>
      <name val="Calibri"/>
      <family val="2"/>
      <scheme val="minor"/>
    </font>
    <font>
      <sz val="12"/>
      <color rgb="FFFFFFFF"/>
      <name val="Calibri"/>
      <family val="2"/>
      <scheme val="minor"/>
    </font>
    <font>
      <sz val="12"/>
      <color rgb="FF000000"/>
      <name val="Calibri"/>
      <family val="2"/>
      <scheme val="minor"/>
    </font>
    <font>
      <sz val="11"/>
      <color theme="1"/>
      <name val="Calibri"/>
      <family val="2"/>
      <scheme val="minor"/>
    </font>
    <font>
      <sz val="16"/>
      <color theme="0"/>
      <name val="Calibri"/>
      <family val="2"/>
      <scheme val="minor"/>
    </font>
    <font>
      <sz val="10"/>
      <color rgb="FF1F497D"/>
      <name val="Arial"/>
      <family val="2"/>
    </font>
    <font>
      <b/>
      <sz val="11"/>
      <color rgb="FFFFFFFF"/>
      <name val="Calibri"/>
      <family val="2"/>
    </font>
    <font>
      <b/>
      <sz val="11"/>
      <color rgb="FF333333"/>
      <name val="Calibri"/>
      <family val="2"/>
    </font>
    <font>
      <i/>
      <sz val="11"/>
      <color rgb="FF333333"/>
      <name val="Calibri"/>
      <family val="2"/>
    </font>
    <font>
      <sz val="11"/>
      <color rgb="FF333333"/>
      <name val="Calibri"/>
      <family val="2"/>
    </font>
    <font>
      <b/>
      <sz val="12"/>
      <color rgb="FF7030A0"/>
      <name val="Calibri"/>
      <family val="2"/>
      <scheme val="minor"/>
    </font>
    <font>
      <i/>
      <sz val="11"/>
      <color rgb="FFFF0000"/>
      <name val="Calibri"/>
      <family val="2"/>
      <scheme val="minor"/>
    </font>
    <font>
      <i/>
      <sz val="11"/>
      <color rgb="FF7030A0"/>
      <name val="Calibri"/>
      <family val="2"/>
      <scheme val="minor"/>
    </font>
    <font>
      <b/>
      <sz val="11"/>
      <color rgb="FFFF0000"/>
      <name val="Calibri"/>
      <family val="2"/>
      <scheme val="minor"/>
    </font>
    <font>
      <sz val="11"/>
      <name val="Calibri"/>
      <family val="2"/>
      <scheme val="minor"/>
    </font>
    <font>
      <b/>
      <sz val="11"/>
      <color theme="1"/>
      <name val="Calibri"/>
      <family val="2"/>
      <scheme val="minor"/>
    </font>
    <font>
      <b/>
      <sz val="11"/>
      <name val="Calibri"/>
      <family val="2"/>
      <scheme val="minor"/>
    </font>
    <font>
      <b/>
      <i/>
      <sz val="11"/>
      <color rgb="FF7030A0"/>
      <name val="Calibri"/>
      <family val="2"/>
      <scheme val="minor"/>
    </font>
    <font>
      <b/>
      <sz val="11"/>
      <color theme="0"/>
      <name val="Calibri"/>
      <family val="2"/>
      <scheme val="minor"/>
    </font>
    <font>
      <b/>
      <i/>
      <sz val="11"/>
      <color theme="1" tint="0.34998626667073579"/>
      <name val="Calibri"/>
      <family val="2"/>
      <scheme val="minor"/>
    </font>
    <font>
      <b/>
      <sz val="14"/>
      <color rgb="FF0070C0"/>
      <name val="Calibri"/>
      <family val="2"/>
      <scheme val="minor"/>
    </font>
  </fonts>
  <fills count="8">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rgb="FF0070C0"/>
        <bgColor indexed="64"/>
      </patternFill>
    </fill>
    <fill>
      <patternFill patternType="solid">
        <fgColor rgb="FF7030A0"/>
        <bgColor indexed="64"/>
      </patternFill>
    </fill>
    <fill>
      <patternFill patternType="solid">
        <fgColor rgb="FF5B9BD5"/>
        <bgColor indexed="64"/>
      </patternFill>
    </fill>
    <fill>
      <patternFill patternType="solid">
        <fgColor rgb="FFDEEAF6"/>
        <bgColor indexed="64"/>
      </patternFill>
    </fill>
  </fills>
  <borders count="14">
    <border>
      <left/>
      <right/>
      <top/>
      <bottom/>
      <diagonal/>
    </border>
    <border>
      <left style="medium">
        <color rgb="FF9CC2E5"/>
      </left>
      <right style="medium">
        <color rgb="FF9CC2E5"/>
      </right>
      <top/>
      <bottom style="medium">
        <color rgb="FF9CC2E5"/>
      </bottom>
      <diagonal/>
    </border>
    <border>
      <left/>
      <right style="medium">
        <color rgb="FF9CC2E5"/>
      </right>
      <top/>
      <bottom style="medium">
        <color rgb="FF9CC2E5"/>
      </bottom>
      <diagonal/>
    </border>
    <border>
      <left style="medium">
        <color rgb="FF5B9BD5"/>
      </left>
      <right/>
      <top style="medium">
        <color rgb="FF5B9BD5"/>
      </top>
      <bottom/>
      <diagonal/>
    </border>
    <border>
      <left style="medium">
        <color rgb="FF5B9BD5"/>
      </left>
      <right/>
      <top/>
      <bottom/>
      <diagonal/>
    </border>
    <border>
      <left style="medium">
        <color rgb="FF5B9BD5"/>
      </left>
      <right/>
      <top/>
      <bottom style="medium">
        <color rgb="FF5B9BD5"/>
      </bottom>
      <diagonal/>
    </border>
    <border>
      <left/>
      <right/>
      <top style="medium">
        <color rgb="FF5B9BD5"/>
      </top>
      <bottom/>
      <diagonal/>
    </border>
    <border>
      <left/>
      <right/>
      <top/>
      <bottom style="medium">
        <color rgb="FF5B9BD5"/>
      </bottom>
      <diagonal/>
    </border>
    <border>
      <left/>
      <right style="medium">
        <color rgb="FF5B9BD5"/>
      </right>
      <top style="medium">
        <color rgb="FF5B9BD5"/>
      </top>
      <bottom/>
      <diagonal/>
    </border>
    <border>
      <left/>
      <right style="medium">
        <color rgb="FF5B9BD5"/>
      </right>
      <top/>
      <bottom/>
      <diagonal/>
    </border>
    <border>
      <left/>
      <right style="medium">
        <color rgb="FF5B9BD5"/>
      </right>
      <top/>
      <bottom style="medium">
        <color rgb="FF5B9BD5"/>
      </bottom>
      <diagonal/>
    </border>
    <border>
      <left style="medium">
        <color rgb="FF5B9BD5"/>
      </left>
      <right/>
      <top style="medium">
        <color rgb="FF5B9BD5"/>
      </top>
      <bottom style="medium">
        <color rgb="FF5B9BD5"/>
      </bottom>
      <diagonal/>
    </border>
    <border>
      <left/>
      <right/>
      <top style="medium">
        <color rgb="FF5B9BD5"/>
      </top>
      <bottom style="medium">
        <color rgb="FF5B9BD5"/>
      </bottom>
      <diagonal/>
    </border>
    <border>
      <left/>
      <right style="medium">
        <color rgb="FF5B9BD5"/>
      </right>
      <top style="medium">
        <color rgb="FF5B9BD5"/>
      </top>
      <bottom style="medium">
        <color rgb="FF5B9BD5"/>
      </bottom>
      <diagonal/>
    </border>
  </borders>
  <cellStyleXfs count="2">
    <xf numFmtId="0" fontId="0" fillId="0" borderId="0"/>
    <xf numFmtId="9" fontId="10" fillId="0" borderId="0" applyFont="0" applyFill="0" applyBorder="0" applyAlignment="0" applyProtection="0"/>
  </cellStyleXfs>
  <cellXfs count="118">
    <xf numFmtId="0" fontId="0" fillId="0" borderId="0" xfId="0"/>
    <xf numFmtId="0" fontId="0" fillId="2" borderId="0" xfId="0" applyFill="1"/>
    <xf numFmtId="0" fontId="0" fillId="3" borderId="0" xfId="0" applyFill="1"/>
    <xf numFmtId="3" fontId="0" fillId="0" borderId="0" xfId="0" applyNumberFormat="1"/>
    <xf numFmtId="0" fontId="0" fillId="4" borderId="0" xfId="0" applyFill="1"/>
    <xf numFmtId="0" fontId="5" fillId="4" borderId="0" xfId="0" applyFont="1" applyFill="1" applyAlignment="1">
      <alignment wrapText="1"/>
    </xf>
    <xf numFmtId="0" fontId="0" fillId="0" borderId="0" xfId="0" applyAlignment="1">
      <alignment wrapText="1"/>
    </xf>
    <xf numFmtId="0" fontId="8" fillId="6" borderId="6" xfId="0" applyFont="1" applyFill="1" applyBorder="1" applyAlignment="1">
      <alignment horizontal="center" vertical="center" wrapText="1"/>
    </xf>
    <xf numFmtId="0" fontId="8" fillId="6" borderId="0" xfId="0" applyFont="1" applyFill="1" applyAlignment="1">
      <alignment horizontal="center" vertical="center" wrapText="1"/>
    </xf>
    <xf numFmtId="0" fontId="8" fillId="6" borderId="7" xfId="0" applyFont="1" applyFill="1" applyBorder="1" applyAlignment="1">
      <alignment horizontal="center" vertical="center" wrapText="1"/>
    </xf>
    <xf numFmtId="0" fontId="0" fillId="6" borderId="7" xfId="0" applyFill="1" applyBorder="1" applyAlignment="1">
      <alignment horizontal="center" vertical="top" wrapText="1"/>
    </xf>
    <xf numFmtId="0" fontId="6" fillId="7" borderId="1" xfId="0" applyFont="1" applyFill="1" applyBorder="1" applyAlignment="1">
      <alignment horizontal="center" vertical="center" wrapText="1"/>
    </xf>
    <xf numFmtId="0" fontId="9" fillId="7" borderId="2" xfId="0" applyFont="1" applyFill="1" applyBorder="1" applyAlignment="1">
      <alignment horizontal="center" vertical="center" wrapText="1"/>
    </xf>
    <xf numFmtId="0" fontId="6" fillId="7" borderId="2" xfId="0" applyFont="1" applyFill="1" applyBorder="1" applyAlignment="1">
      <alignment horizontal="center" vertical="center" wrapText="1"/>
    </xf>
    <xf numFmtId="0" fontId="1" fillId="0" borderId="0" xfId="0" applyFont="1" applyAlignment="1">
      <alignment wrapText="1"/>
    </xf>
    <xf numFmtId="0" fontId="11" fillId="4" borderId="0" xfId="0" applyFont="1" applyFill="1"/>
    <xf numFmtId="0" fontId="13" fillId="6" borderId="11" xfId="0" applyFont="1" applyFill="1" applyBorder="1" applyAlignment="1">
      <alignment horizontal="center" vertical="center" wrapText="1"/>
    </xf>
    <xf numFmtId="0" fontId="13" fillId="6" borderId="12" xfId="0" applyFont="1" applyFill="1" applyBorder="1" applyAlignment="1">
      <alignment horizontal="center" vertical="center" wrapText="1"/>
    </xf>
    <xf numFmtId="0" fontId="13" fillId="6" borderId="13" xfId="0" applyFont="1" applyFill="1" applyBorder="1" applyAlignment="1">
      <alignment horizontal="center" vertical="center" wrapText="1"/>
    </xf>
    <xf numFmtId="0" fontId="14" fillId="7" borderId="1" xfId="0" applyFont="1" applyFill="1" applyBorder="1" applyAlignment="1">
      <alignment vertical="center" wrapText="1"/>
    </xf>
    <xf numFmtId="0" fontId="15" fillId="7" borderId="2" xfId="0" applyFont="1" applyFill="1" applyBorder="1" applyAlignment="1">
      <alignment vertical="center" wrapText="1"/>
    </xf>
    <xf numFmtId="0" fontId="14" fillId="0" borderId="1" xfId="0" applyFont="1" applyBorder="1" applyAlignment="1">
      <alignment vertical="center" wrapText="1"/>
    </xf>
    <xf numFmtId="0" fontId="15" fillId="0" borderId="2" xfId="0" applyFont="1" applyBorder="1" applyAlignment="1">
      <alignment vertical="center" wrapText="1"/>
    </xf>
    <xf numFmtId="9" fontId="0" fillId="0" borderId="0" xfId="1" applyFont="1"/>
    <xf numFmtId="0" fontId="12" fillId="0" borderId="0" xfId="0" applyFont="1" applyAlignment="1">
      <alignment vertical="center"/>
    </xf>
    <xf numFmtId="0" fontId="13" fillId="6" borderId="0" xfId="0" applyFont="1" applyFill="1" applyBorder="1" applyAlignment="1">
      <alignment horizontal="center" vertical="center" wrapText="1"/>
    </xf>
    <xf numFmtId="9" fontId="16" fillId="7" borderId="2" xfId="1" applyFont="1" applyFill="1" applyBorder="1" applyAlignment="1">
      <alignment horizontal="center" vertical="center" wrapText="1"/>
    </xf>
    <xf numFmtId="9" fontId="16" fillId="0" borderId="2" xfId="1" applyFont="1" applyBorder="1" applyAlignment="1">
      <alignment horizontal="center" vertical="center" wrapText="1"/>
    </xf>
    <xf numFmtId="0" fontId="3" fillId="0" borderId="0" xfId="0" applyFont="1" applyAlignment="1">
      <alignment wrapText="1"/>
    </xf>
    <xf numFmtId="0" fontId="4" fillId="4" borderId="0" xfId="0" applyFont="1" applyFill="1" applyAlignment="1">
      <alignment wrapText="1"/>
    </xf>
    <xf numFmtId="3" fontId="17" fillId="0" borderId="0" xfId="0" applyNumberFormat="1" applyFont="1" applyAlignment="1">
      <alignment horizontal="center"/>
    </xf>
    <xf numFmtId="15" fontId="0" fillId="0" borderId="0" xfId="0" applyNumberFormat="1" applyAlignment="1">
      <alignment wrapText="1"/>
    </xf>
    <xf numFmtId="0" fontId="7" fillId="5" borderId="0" xfId="0" applyFont="1" applyFill="1" applyAlignment="1">
      <alignment horizontal="left" vertical="top" wrapText="1"/>
    </xf>
    <xf numFmtId="0" fontId="4" fillId="5" borderId="0" xfId="0" applyFont="1" applyFill="1" applyAlignment="1">
      <alignment horizontal="left" vertical="top" wrapText="1"/>
    </xf>
    <xf numFmtId="0" fontId="0" fillId="3" borderId="0" xfId="0" applyFill="1" applyAlignment="1">
      <alignment horizontal="left" vertical="top"/>
    </xf>
    <xf numFmtId="0" fontId="5" fillId="4" borderId="0" xfId="0" applyFont="1" applyFill="1" applyAlignment="1">
      <alignment horizontal="left" vertical="top" wrapText="1"/>
    </xf>
    <xf numFmtId="0" fontId="0" fillId="4" borderId="0" xfId="0" applyFill="1" applyAlignment="1">
      <alignment horizontal="left" vertical="top" wrapText="1"/>
    </xf>
    <xf numFmtId="0" fontId="0" fillId="0" borderId="0" xfId="0" applyAlignment="1">
      <alignment horizontal="left" vertical="top"/>
    </xf>
    <xf numFmtId="0" fontId="1" fillId="0" borderId="0" xfId="0" applyFont="1" applyAlignment="1">
      <alignment horizontal="left" vertical="top" wrapText="1"/>
    </xf>
    <xf numFmtId="0" fontId="0" fillId="0" borderId="0" xfId="0" applyAlignment="1">
      <alignment horizontal="left" vertical="top" wrapText="1"/>
    </xf>
    <xf numFmtId="0" fontId="1" fillId="4" borderId="0" xfId="0" applyFont="1" applyFill="1" applyAlignment="1">
      <alignment horizontal="left" vertical="top" wrapText="1"/>
    </xf>
    <xf numFmtId="0" fontId="0" fillId="2" borderId="0" xfId="0" applyFill="1" applyAlignment="1">
      <alignment horizontal="left" vertical="top"/>
    </xf>
    <xf numFmtId="0" fontId="3" fillId="0" borderId="0" xfId="0" applyFont="1" applyAlignment="1">
      <alignment horizontal="left" vertical="top" wrapText="1"/>
    </xf>
    <xf numFmtId="0" fontId="6" fillId="0" borderId="0" xfId="0" applyFont="1" applyAlignment="1">
      <alignment horizontal="left" vertical="top" wrapText="1"/>
    </xf>
    <xf numFmtId="0" fontId="6" fillId="0" borderId="0" xfId="0" applyFont="1" applyAlignment="1">
      <alignment horizontal="left" vertical="top"/>
    </xf>
    <xf numFmtId="0" fontId="6" fillId="0" borderId="0" xfId="0" applyFont="1"/>
    <xf numFmtId="0" fontId="0" fillId="0" borderId="0" xfId="0" applyAlignment="1">
      <alignment horizontal="right" vertical="top"/>
    </xf>
    <xf numFmtId="0" fontId="18" fillId="0" borderId="0" xfId="0" applyFont="1" applyAlignment="1">
      <alignment horizontal="left" vertical="top" wrapText="1"/>
    </xf>
    <xf numFmtId="0" fontId="0" fillId="4" borderId="0" xfId="0" applyFill="1" applyAlignment="1">
      <alignment horizontal="center" vertical="top"/>
    </xf>
    <xf numFmtId="0" fontId="7" fillId="5" borderId="0" xfId="0" applyFont="1" applyFill="1" applyAlignment="1">
      <alignment horizontal="center" vertical="top"/>
    </xf>
    <xf numFmtId="0" fontId="0" fillId="4" borderId="0" xfId="0" applyFill="1" applyAlignment="1">
      <alignment horizontal="right"/>
    </xf>
    <xf numFmtId="0" fontId="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1" fillId="0" borderId="0" xfId="0" applyFont="1" applyFill="1" applyAlignment="1">
      <alignment horizontal="left" wrapText="1"/>
    </xf>
    <xf numFmtId="0" fontId="21" fillId="0" borderId="0" xfId="0" applyFont="1" applyFill="1" applyAlignment="1">
      <alignment horizontal="right"/>
    </xf>
    <xf numFmtId="0" fontId="21" fillId="0" borderId="0" xfId="0" applyFont="1" applyFill="1" applyAlignment="1">
      <alignment wrapText="1"/>
    </xf>
    <xf numFmtId="0" fontId="21" fillId="0" borderId="0" xfId="0" applyFont="1" applyFill="1" applyAlignment="1">
      <alignment horizontal="left" vertical="top" wrapText="1"/>
    </xf>
    <xf numFmtId="0" fontId="21" fillId="0" borderId="0" xfId="0" applyFont="1" applyFill="1" applyAlignment="1">
      <alignment horizontal="right" vertical="top"/>
    </xf>
    <xf numFmtId="3" fontId="22" fillId="0" borderId="0" xfId="0" applyNumberFormat="1" applyFont="1" applyAlignment="1">
      <alignment horizontal="right"/>
    </xf>
    <xf numFmtId="3" fontId="23" fillId="0" borderId="0" xfId="0" applyNumberFormat="1" applyFont="1" applyFill="1" applyAlignment="1">
      <alignment horizontal="right"/>
    </xf>
    <xf numFmtId="3" fontId="23" fillId="0" borderId="0" xfId="0" applyNumberFormat="1" applyFont="1" applyFill="1" applyAlignment="1">
      <alignment horizontal="right" wrapText="1"/>
    </xf>
    <xf numFmtId="3" fontId="0" fillId="0" borderId="0" xfId="0" applyNumberFormat="1" applyFont="1" applyAlignment="1">
      <alignment horizontal="right"/>
    </xf>
    <xf numFmtId="3" fontId="20" fillId="0" borderId="0" xfId="0" applyNumberFormat="1" applyFont="1" applyFill="1" applyAlignment="1">
      <alignment horizontal="right" wrapText="1"/>
    </xf>
    <xf numFmtId="1" fontId="23" fillId="0" borderId="0" xfId="0" applyNumberFormat="1" applyFont="1" applyFill="1" applyAlignment="1">
      <alignment horizontal="right" wrapText="1"/>
    </xf>
    <xf numFmtId="0" fontId="21" fillId="0" borderId="0" xfId="0" applyFont="1" applyAlignment="1">
      <alignment horizontal="left" wrapText="1"/>
    </xf>
    <xf numFmtId="3" fontId="23" fillId="0" borderId="0" xfId="0" applyNumberFormat="1" applyFont="1" applyAlignment="1">
      <alignment horizontal="right" wrapText="1"/>
    </xf>
    <xf numFmtId="3" fontId="22" fillId="0" borderId="0" xfId="0" applyNumberFormat="1" applyFont="1" applyAlignment="1">
      <alignment horizontal="right" wrapText="1"/>
    </xf>
    <xf numFmtId="0" fontId="4" fillId="4" borderId="0" xfId="0" applyFont="1" applyFill="1" applyAlignment="1">
      <alignment horizontal="left" wrapText="1"/>
    </xf>
    <xf numFmtId="3" fontId="25" fillId="4" borderId="0" xfId="0" applyNumberFormat="1" applyFont="1" applyFill="1" applyAlignment="1">
      <alignment horizontal="right" wrapText="1"/>
    </xf>
    <xf numFmtId="0" fontId="2" fillId="0" borderId="0" xfId="0" applyFont="1" applyAlignment="1" applyProtection="1">
      <alignment horizontal="left" wrapText="1"/>
      <protection locked="0"/>
    </xf>
    <xf numFmtId="0" fontId="2" fillId="0" borderId="0" xfId="0" applyFont="1" applyAlignment="1" applyProtection="1">
      <alignment horizontal="right"/>
      <protection locked="0"/>
    </xf>
    <xf numFmtId="0" fontId="1" fillId="0" borderId="0" xfId="0" applyFont="1" applyAlignment="1" applyProtection="1">
      <alignment horizontal="left" vertical="top" wrapText="1"/>
      <protection locked="0"/>
    </xf>
    <xf numFmtId="0" fontId="0" fillId="0" borderId="0" xfId="0" applyAlignment="1" applyProtection="1">
      <alignment horizontal="left" vertical="top"/>
      <protection locked="0"/>
    </xf>
    <xf numFmtId="0" fontId="0" fillId="0" borderId="0" xfId="0" applyProtection="1">
      <protection locked="0"/>
    </xf>
    <xf numFmtId="0" fontId="20" fillId="0" borderId="0" xfId="0" applyFont="1" applyAlignment="1" applyProtection="1">
      <alignment horizontal="right" wrapText="1"/>
      <protection locked="0"/>
    </xf>
    <xf numFmtId="3" fontId="2" fillId="0" borderId="0" xfId="0" applyNumberFormat="1" applyFont="1" applyAlignment="1" applyProtection="1">
      <alignment horizontal="right"/>
      <protection locked="0"/>
    </xf>
    <xf numFmtId="0" fontId="0" fillId="0" borderId="0" xfId="0" applyAlignment="1" applyProtection="1">
      <alignment horizontal="left" wrapText="1"/>
      <protection locked="0"/>
    </xf>
    <xf numFmtId="0" fontId="0" fillId="0" borderId="0" xfId="0" applyAlignment="1" applyProtection="1">
      <alignment horizontal="right"/>
      <protection locked="0"/>
    </xf>
    <xf numFmtId="3" fontId="20" fillId="0" borderId="0" xfId="0" applyNumberFormat="1" applyFont="1" applyAlignment="1" applyProtection="1">
      <alignment horizontal="right" wrapText="1"/>
      <protection locked="0"/>
    </xf>
    <xf numFmtId="0" fontId="5" fillId="4" borderId="0" xfId="0" applyFont="1" applyFill="1" applyAlignment="1" applyProtection="1">
      <alignment horizontal="left" vertical="top" wrapText="1"/>
    </xf>
    <xf numFmtId="0" fontId="0" fillId="4" borderId="0" xfId="0" applyFill="1" applyAlignment="1" applyProtection="1">
      <alignment horizontal="right"/>
    </xf>
    <xf numFmtId="0" fontId="1" fillId="4" borderId="0" xfId="0" applyFont="1" applyFill="1" applyAlignment="1" applyProtection="1">
      <alignment horizontal="left" vertical="top" wrapText="1"/>
    </xf>
    <xf numFmtId="0" fontId="0" fillId="0" borderId="0" xfId="0" applyFont="1" applyAlignment="1" applyProtection="1">
      <alignment horizontal="left" wrapText="1"/>
    </xf>
    <xf numFmtId="3" fontId="22" fillId="0" borderId="0" xfId="0" applyNumberFormat="1" applyFont="1" applyAlignment="1" applyProtection="1">
      <alignment horizontal="right"/>
    </xf>
    <xf numFmtId="0" fontId="1" fillId="0" borderId="0" xfId="0" applyFont="1" applyAlignment="1" applyProtection="1">
      <alignment horizontal="left" vertical="top" wrapText="1"/>
    </xf>
    <xf numFmtId="0" fontId="1" fillId="0" borderId="0" xfId="0" applyFont="1" applyAlignment="1" applyProtection="1">
      <alignment wrapText="1"/>
    </xf>
    <xf numFmtId="0" fontId="21" fillId="0" borderId="0" xfId="0" applyFont="1" applyFill="1" applyAlignment="1" applyProtection="1">
      <alignment horizontal="left" wrapText="1"/>
    </xf>
    <xf numFmtId="3" fontId="23" fillId="0" borderId="0" xfId="0" applyNumberFormat="1" applyFont="1" applyFill="1" applyAlignment="1" applyProtection="1">
      <alignment horizontal="right"/>
    </xf>
    <xf numFmtId="0" fontId="18" fillId="0" borderId="0" xfId="0" applyFont="1" applyAlignment="1" applyProtection="1">
      <alignment horizontal="left" vertical="top" wrapText="1"/>
    </xf>
    <xf numFmtId="3" fontId="23" fillId="0" borderId="0" xfId="0" applyNumberFormat="1" applyFont="1" applyFill="1" applyAlignment="1" applyProtection="1">
      <alignment horizontal="right" wrapText="1"/>
    </xf>
    <xf numFmtId="3" fontId="0" fillId="0" borderId="0" xfId="0" applyNumberFormat="1" applyFont="1" applyAlignment="1" applyProtection="1">
      <alignment horizontal="right"/>
    </xf>
    <xf numFmtId="0" fontId="3" fillId="0" borderId="0" xfId="0" applyFont="1" applyAlignment="1" applyProtection="1">
      <alignment horizontal="left" vertical="top" wrapText="1"/>
    </xf>
    <xf numFmtId="0" fontId="4" fillId="4" borderId="0" xfId="0" applyFont="1" applyFill="1" applyAlignment="1" applyProtection="1">
      <alignment horizontal="left" wrapText="1"/>
    </xf>
    <xf numFmtId="3" fontId="25" fillId="4" borderId="0" xfId="0" applyNumberFormat="1" applyFont="1" applyFill="1" applyAlignment="1" applyProtection="1">
      <alignment horizontal="right" wrapText="1"/>
    </xf>
    <xf numFmtId="3" fontId="20" fillId="0" borderId="0" xfId="0" applyNumberFormat="1" applyFont="1" applyFill="1" applyAlignment="1" applyProtection="1">
      <alignment horizontal="right" wrapText="1"/>
    </xf>
    <xf numFmtId="0" fontId="0" fillId="0" borderId="0" xfId="0" applyAlignment="1" applyProtection="1">
      <alignment horizontal="left" vertical="top" wrapText="1"/>
    </xf>
    <xf numFmtId="1" fontId="23" fillId="0" borderId="0" xfId="0" applyNumberFormat="1" applyFont="1" applyFill="1" applyAlignment="1" applyProtection="1">
      <alignment horizontal="right" wrapText="1"/>
    </xf>
    <xf numFmtId="0" fontId="1" fillId="0" borderId="0" xfId="0" applyFont="1" applyFill="1" applyAlignment="1" applyProtection="1">
      <alignment horizontal="left" vertical="top" wrapText="1"/>
    </xf>
    <xf numFmtId="0" fontId="21" fillId="0" borderId="0" xfId="0" applyFont="1" applyFill="1" applyAlignment="1" applyProtection="1">
      <alignment horizontal="right"/>
    </xf>
    <xf numFmtId="0" fontId="21" fillId="0" borderId="0" xfId="0" applyFont="1" applyFill="1" applyAlignment="1" applyProtection="1">
      <alignment wrapText="1"/>
    </xf>
    <xf numFmtId="0" fontId="3" fillId="0" borderId="0" xfId="0" applyFont="1" applyAlignment="1" applyProtection="1">
      <alignment wrapText="1"/>
    </xf>
    <xf numFmtId="0" fontId="21" fillId="0" borderId="0" xfId="0" applyFont="1" applyFill="1" applyAlignment="1" applyProtection="1">
      <alignment horizontal="left" vertical="top" wrapText="1"/>
    </xf>
    <xf numFmtId="0" fontId="21" fillId="0" borderId="0" xfId="0" applyFont="1" applyFill="1" applyAlignment="1" applyProtection="1">
      <alignment horizontal="right" vertical="top"/>
    </xf>
    <xf numFmtId="0" fontId="6" fillId="0" borderId="0" xfId="0" applyFont="1" applyAlignment="1" applyProtection="1">
      <alignment horizontal="left" vertical="top" wrapText="1"/>
    </xf>
    <xf numFmtId="3" fontId="23" fillId="0" borderId="0" xfId="0" applyNumberFormat="1" applyFont="1" applyAlignment="1" applyProtection="1">
      <alignment horizontal="right"/>
    </xf>
    <xf numFmtId="0" fontId="21" fillId="0" borderId="0" xfId="0" applyFont="1" applyAlignment="1" applyProtection="1">
      <alignment horizontal="left" wrapText="1"/>
    </xf>
    <xf numFmtId="0" fontId="27" fillId="0" borderId="0" xfId="0" applyFont="1" applyAlignment="1">
      <alignment horizontal="right" wrapText="1"/>
    </xf>
    <xf numFmtId="3" fontId="27" fillId="0" borderId="0" xfId="0" applyNumberFormat="1" applyFont="1"/>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8" fillId="6" borderId="0"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8" fillId="6" borderId="9" xfId="0" applyFont="1" applyFill="1" applyBorder="1" applyAlignment="1">
      <alignment horizontal="center" vertical="center" wrapText="1"/>
    </xf>
    <xf numFmtId="0" fontId="8" fillId="6" borderId="10" xfId="0" applyFont="1" applyFill="1" applyBorder="1" applyAlignment="1">
      <alignment horizontal="center" vertical="center" wrapText="1"/>
    </xf>
  </cellXfs>
  <cellStyles count="2">
    <cellStyle name="Normal" xfId="0" builtinId="0"/>
    <cellStyle name="Percent" xfId="1" builtinId="5"/>
  </cellStyles>
  <dxfs count="36">
    <dxf>
      <font>
        <color rgb="FFFF0000"/>
      </font>
    </dxf>
    <dxf>
      <font>
        <color rgb="FFFF0000"/>
      </font>
    </dxf>
    <dxf>
      <font>
        <color rgb="FFFF0000"/>
      </font>
    </dxf>
    <dxf>
      <font>
        <color rgb="FFFF0000"/>
      </font>
    </dxf>
    <dxf>
      <font>
        <color rgb="FFFF0000"/>
      </font>
    </dxf>
    <dxf>
      <font>
        <b/>
        <i val="0"/>
        <color rgb="FFFF0000"/>
      </font>
    </dxf>
    <dxf>
      <font>
        <b/>
        <i val="0"/>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dxf>
    <dxf>
      <font>
        <b/>
        <i val="0"/>
        <color rgb="FFFF0000"/>
      </font>
    </dxf>
    <dxf>
      <font>
        <b/>
        <i val="0"/>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dxf>
    <dxf>
      <font>
        <b/>
        <i val="0"/>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dxf>
    <dxf>
      <font>
        <b/>
        <i val="0"/>
        <color rgb="FFFF0000"/>
      </font>
    </dxf>
    <dxf>
      <font>
        <b/>
        <i val="0"/>
        <color rgb="FFFF0000"/>
      </font>
    </dxf>
    <dxf>
      <font>
        <color rgb="FFFF0000"/>
      </font>
    </dxf>
    <dxf>
      <font>
        <color rgb="FFFF0000"/>
      </font>
    </dxf>
  </dxfs>
  <tableStyles count="0" defaultTableStyle="TableStyleMedium2" defaultPivotStyle="PivotStyleLight16"/>
  <colors>
    <mruColors>
      <color rgb="FF5959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5.png"/><Relationship Id="rId5" Type="http://schemas.openxmlformats.org/officeDocument/2006/relationships/image" Target="cid:image001.png@01D63362.B92F6170" TargetMode="External"/><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1.png"/><Relationship Id="rId4" Type="http://schemas.openxmlformats.org/officeDocument/2006/relationships/image" Target="../media/image8.png"/></Relationships>
</file>

<file path=xl/drawings/_rels/drawing3.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6.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76200</xdr:colOff>
      <xdr:row>41</xdr:row>
      <xdr:rowOff>180975</xdr:rowOff>
    </xdr:from>
    <xdr:ext cx="7333333" cy="1885714"/>
    <xdr:pic>
      <xdr:nvPicPr>
        <xdr:cNvPr id="7" name="Picture 6"/>
        <xdr:cNvPicPr>
          <a:picLocks noChangeAspect="1"/>
        </xdr:cNvPicPr>
      </xdr:nvPicPr>
      <xdr:blipFill>
        <a:blip xmlns:r="http://schemas.openxmlformats.org/officeDocument/2006/relationships" r:embed="rId1"/>
        <a:stretch>
          <a:fillRect/>
        </a:stretch>
      </xdr:blipFill>
      <xdr:spPr>
        <a:xfrm>
          <a:off x="11410950" y="23593425"/>
          <a:ext cx="7333333" cy="1885714"/>
        </a:xfrm>
        <a:prstGeom prst="rect">
          <a:avLst/>
        </a:prstGeom>
      </xdr:spPr>
    </xdr:pic>
    <xdr:clientData/>
  </xdr:oneCellAnchor>
  <xdr:twoCellAnchor editAs="oneCell">
    <xdr:from>
      <xdr:col>3</xdr:col>
      <xdr:colOff>66675</xdr:colOff>
      <xdr:row>36</xdr:row>
      <xdr:rowOff>876300</xdr:rowOff>
    </xdr:from>
    <xdr:to>
      <xdr:col>10</xdr:col>
      <xdr:colOff>180975</xdr:colOff>
      <xdr:row>40</xdr:row>
      <xdr:rowOff>733425</xdr:rowOff>
    </xdr:to>
    <xdr:pic>
      <xdr:nvPicPr>
        <xdr:cNvPr id="10" name="Picture 9"/>
        <xdr:cNvPicPr/>
      </xdr:nvPicPr>
      <xdr:blipFill>
        <a:blip xmlns:r="http://schemas.openxmlformats.org/officeDocument/2006/relationships" r:embed="rId2"/>
        <a:stretch>
          <a:fillRect/>
        </a:stretch>
      </xdr:blipFill>
      <xdr:spPr>
        <a:xfrm>
          <a:off x="11401425" y="19621500"/>
          <a:ext cx="4381500" cy="2743200"/>
        </a:xfrm>
        <a:prstGeom prst="rect">
          <a:avLst/>
        </a:prstGeom>
      </xdr:spPr>
    </xdr:pic>
    <xdr:clientData/>
  </xdr:twoCellAnchor>
  <xdr:twoCellAnchor editAs="oneCell">
    <xdr:from>
      <xdr:col>3</xdr:col>
      <xdr:colOff>57150</xdr:colOff>
      <xdr:row>37</xdr:row>
      <xdr:rowOff>123825</xdr:rowOff>
    </xdr:from>
    <xdr:to>
      <xdr:col>15</xdr:col>
      <xdr:colOff>75283</xdr:colOff>
      <xdr:row>40</xdr:row>
      <xdr:rowOff>161689</xdr:rowOff>
    </xdr:to>
    <xdr:pic>
      <xdr:nvPicPr>
        <xdr:cNvPr id="12" name="Picture 11"/>
        <xdr:cNvPicPr>
          <a:picLocks noChangeAspect="1"/>
        </xdr:cNvPicPr>
      </xdr:nvPicPr>
      <xdr:blipFill>
        <a:blip xmlns:r="http://schemas.openxmlformats.org/officeDocument/2006/relationships" r:embed="rId1"/>
        <a:stretch>
          <a:fillRect/>
        </a:stretch>
      </xdr:blipFill>
      <xdr:spPr>
        <a:xfrm>
          <a:off x="11391900" y="24107775"/>
          <a:ext cx="7333333" cy="1885714"/>
        </a:xfrm>
        <a:prstGeom prst="rect">
          <a:avLst/>
        </a:prstGeom>
      </xdr:spPr>
    </xdr:pic>
    <xdr:clientData/>
  </xdr:twoCellAnchor>
  <xdr:oneCellAnchor>
    <xdr:from>
      <xdr:col>3</xdr:col>
      <xdr:colOff>76200</xdr:colOff>
      <xdr:row>47</xdr:row>
      <xdr:rowOff>180975</xdr:rowOff>
    </xdr:from>
    <xdr:ext cx="7333333" cy="1885714"/>
    <xdr:pic>
      <xdr:nvPicPr>
        <xdr:cNvPr id="14" name="Picture 13"/>
        <xdr:cNvPicPr>
          <a:picLocks noChangeAspect="1"/>
        </xdr:cNvPicPr>
      </xdr:nvPicPr>
      <xdr:blipFill>
        <a:blip xmlns:r="http://schemas.openxmlformats.org/officeDocument/2006/relationships" r:embed="rId1"/>
        <a:stretch>
          <a:fillRect/>
        </a:stretch>
      </xdr:blipFill>
      <xdr:spPr>
        <a:xfrm>
          <a:off x="11410950" y="24212550"/>
          <a:ext cx="7333333" cy="1885714"/>
        </a:xfrm>
        <a:prstGeom prst="rect">
          <a:avLst/>
        </a:prstGeom>
      </xdr:spPr>
    </xdr:pic>
    <xdr:clientData/>
  </xdr:oneCellAnchor>
  <xdr:twoCellAnchor editAs="oneCell">
    <xdr:from>
      <xdr:col>3</xdr:col>
      <xdr:colOff>104775</xdr:colOff>
      <xdr:row>54</xdr:row>
      <xdr:rowOff>19050</xdr:rowOff>
    </xdr:from>
    <xdr:to>
      <xdr:col>15</xdr:col>
      <xdr:colOff>123699</xdr:colOff>
      <xdr:row>55</xdr:row>
      <xdr:rowOff>3974</xdr:rowOff>
    </xdr:to>
    <xdr:pic>
      <xdr:nvPicPr>
        <xdr:cNvPr id="15" name="Picture 14"/>
        <xdr:cNvPicPr>
          <a:picLocks noChangeAspect="1"/>
        </xdr:cNvPicPr>
      </xdr:nvPicPr>
      <xdr:blipFill>
        <a:blip xmlns:r="http://schemas.openxmlformats.org/officeDocument/2006/relationships" r:embed="rId3"/>
        <a:stretch>
          <a:fillRect/>
        </a:stretch>
      </xdr:blipFill>
      <xdr:spPr>
        <a:xfrm>
          <a:off x="11439525" y="37061775"/>
          <a:ext cx="7334124" cy="1889924"/>
        </a:xfrm>
        <a:prstGeom prst="rect">
          <a:avLst/>
        </a:prstGeom>
      </xdr:spPr>
    </xdr:pic>
    <xdr:clientData/>
  </xdr:twoCellAnchor>
  <xdr:oneCellAnchor>
    <xdr:from>
      <xdr:col>3</xdr:col>
      <xdr:colOff>57150</xdr:colOff>
      <xdr:row>58</xdr:row>
      <xdr:rowOff>1914525</xdr:rowOff>
    </xdr:from>
    <xdr:ext cx="7333333" cy="1885714"/>
    <xdr:pic>
      <xdr:nvPicPr>
        <xdr:cNvPr id="16" name="Picture 15"/>
        <xdr:cNvPicPr>
          <a:picLocks noChangeAspect="1"/>
        </xdr:cNvPicPr>
      </xdr:nvPicPr>
      <xdr:blipFill>
        <a:blip xmlns:r="http://schemas.openxmlformats.org/officeDocument/2006/relationships" r:embed="rId1"/>
        <a:stretch>
          <a:fillRect/>
        </a:stretch>
      </xdr:blipFill>
      <xdr:spPr>
        <a:xfrm>
          <a:off x="11391900" y="42110025"/>
          <a:ext cx="7333333" cy="1885714"/>
        </a:xfrm>
        <a:prstGeom prst="rect">
          <a:avLst/>
        </a:prstGeom>
      </xdr:spPr>
    </xdr:pic>
    <xdr:clientData/>
  </xdr:oneCellAnchor>
  <xdr:twoCellAnchor>
    <xdr:from>
      <xdr:col>3</xdr:col>
      <xdr:colOff>104775</xdr:colOff>
      <xdr:row>17</xdr:row>
      <xdr:rowOff>157359</xdr:rowOff>
    </xdr:from>
    <xdr:to>
      <xdr:col>11</xdr:col>
      <xdr:colOff>209550</xdr:colOff>
      <xdr:row>26</xdr:row>
      <xdr:rowOff>19050</xdr:rowOff>
    </xdr:to>
    <xdr:pic>
      <xdr:nvPicPr>
        <xdr:cNvPr id="21" name="Picture 1" descr="cid:image001.png@01D63362.B92F6170"/>
        <xdr:cNvPicPr>
          <a:picLocks noChangeAspect="1" noChangeArrowheads="1"/>
        </xdr:cNvPicPr>
      </xdr:nvPicPr>
      <xdr:blipFill>
        <a:blip xmlns:r="http://schemas.openxmlformats.org/officeDocument/2006/relationships" r:embed="rId4" r:link="rId5">
          <a:extLst>
            <a:ext uri="{28A0092B-C50C-407E-A947-70E740481C1C}">
              <a14:useLocalDpi xmlns:a14="http://schemas.microsoft.com/office/drawing/2010/main" val="0"/>
            </a:ext>
          </a:extLst>
        </a:blip>
        <a:srcRect/>
        <a:stretch>
          <a:fillRect/>
        </a:stretch>
      </xdr:blipFill>
      <xdr:spPr bwMode="auto">
        <a:xfrm>
          <a:off x="11439525" y="10320534"/>
          <a:ext cx="4981575" cy="3833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104775</xdr:colOff>
      <xdr:row>44</xdr:row>
      <xdr:rowOff>276225</xdr:rowOff>
    </xdr:from>
    <xdr:to>
      <xdr:col>11</xdr:col>
      <xdr:colOff>209550</xdr:colOff>
      <xdr:row>46</xdr:row>
      <xdr:rowOff>1919091</xdr:rowOff>
    </xdr:to>
    <xdr:pic>
      <xdr:nvPicPr>
        <xdr:cNvPr id="23" name="Picture 1" descr="cid:image001.png@01D63362.B92F6170"/>
        <xdr:cNvPicPr>
          <a:picLocks noChangeAspect="1" noChangeArrowheads="1"/>
        </xdr:cNvPicPr>
      </xdr:nvPicPr>
      <xdr:blipFill>
        <a:blip xmlns:r="http://schemas.openxmlformats.org/officeDocument/2006/relationships" r:embed="rId4" r:link="rId5">
          <a:extLst>
            <a:ext uri="{28A0092B-C50C-407E-A947-70E740481C1C}">
              <a14:useLocalDpi xmlns:a14="http://schemas.microsoft.com/office/drawing/2010/main" val="0"/>
            </a:ext>
          </a:extLst>
        </a:blip>
        <a:srcRect/>
        <a:stretch>
          <a:fillRect/>
        </a:stretch>
      </xdr:blipFill>
      <xdr:spPr bwMode="auto">
        <a:xfrm>
          <a:off x="11439525" y="26812875"/>
          <a:ext cx="4981575" cy="3833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140590</xdr:colOff>
      <xdr:row>50</xdr:row>
      <xdr:rowOff>142875</xdr:rowOff>
    </xdr:from>
    <xdr:to>
      <xdr:col>10</xdr:col>
      <xdr:colOff>408864</xdr:colOff>
      <xdr:row>52</xdr:row>
      <xdr:rowOff>1348690</xdr:rowOff>
    </xdr:to>
    <xdr:pic>
      <xdr:nvPicPr>
        <xdr:cNvPr id="3" name="Picture 2"/>
        <xdr:cNvPicPr>
          <a:picLocks noChangeAspect="1"/>
        </xdr:cNvPicPr>
      </xdr:nvPicPr>
      <xdr:blipFill>
        <a:blip xmlns:r="http://schemas.openxmlformats.org/officeDocument/2006/relationships" r:embed="rId6"/>
        <a:stretch>
          <a:fillRect/>
        </a:stretch>
      </xdr:blipFill>
      <xdr:spPr>
        <a:xfrm>
          <a:off x="11475340" y="33089850"/>
          <a:ext cx="4535474" cy="3491815"/>
        </a:xfrm>
        <a:prstGeom prst="rect">
          <a:avLst/>
        </a:prstGeom>
      </xdr:spPr>
    </xdr:pic>
    <xdr:clientData/>
  </xdr:twoCellAnchor>
  <xdr:twoCellAnchor editAs="oneCell">
    <xdr:from>
      <xdr:col>3</xdr:col>
      <xdr:colOff>161925</xdr:colOff>
      <xdr:row>56</xdr:row>
      <xdr:rowOff>47625</xdr:rowOff>
    </xdr:from>
    <xdr:to>
      <xdr:col>11</xdr:col>
      <xdr:colOff>265989</xdr:colOff>
      <xdr:row>58</xdr:row>
      <xdr:rowOff>1596341</xdr:rowOff>
    </xdr:to>
    <xdr:pic>
      <xdr:nvPicPr>
        <xdr:cNvPr id="4" name="Picture 3"/>
        <xdr:cNvPicPr>
          <a:picLocks noChangeAspect="1"/>
        </xdr:cNvPicPr>
      </xdr:nvPicPr>
      <xdr:blipFill>
        <a:blip xmlns:r="http://schemas.openxmlformats.org/officeDocument/2006/relationships" r:embed="rId6"/>
        <a:stretch>
          <a:fillRect/>
        </a:stretch>
      </xdr:blipFill>
      <xdr:spPr>
        <a:xfrm>
          <a:off x="11496675" y="39414450"/>
          <a:ext cx="4980864" cy="3834716"/>
        </a:xfrm>
        <a:prstGeom prst="rect">
          <a:avLst/>
        </a:prstGeom>
      </xdr:spPr>
    </xdr:pic>
    <xdr:clientData/>
  </xdr:twoCellAnchor>
  <xdr:twoCellAnchor editAs="oneCell">
    <xdr:from>
      <xdr:col>3</xdr:col>
      <xdr:colOff>114300</xdr:colOff>
      <xdr:row>62</xdr:row>
      <xdr:rowOff>981075</xdr:rowOff>
    </xdr:from>
    <xdr:to>
      <xdr:col>11</xdr:col>
      <xdr:colOff>218364</xdr:colOff>
      <xdr:row>68</xdr:row>
      <xdr:rowOff>24716</xdr:rowOff>
    </xdr:to>
    <xdr:pic>
      <xdr:nvPicPr>
        <xdr:cNvPr id="5" name="Picture 4"/>
        <xdr:cNvPicPr>
          <a:picLocks noChangeAspect="1"/>
        </xdr:cNvPicPr>
      </xdr:nvPicPr>
      <xdr:blipFill>
        <a:blip xmlns:r="http://schemas.openxmlformats.org/officeDocument/2006/relationships" r:embed="rId6"/>
        <a:stretch>
          <a:fillRect/>
        </a:stretch>
      </xdr:blipFill>
      <xdr:spPr>
        <a:xfrm>
          <a:off x="11449050" y="45434250"/>
          <a:ext cx="4980864" cy="38347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76200</xdr:colOff>
      <xdr:row>38</xdr:row>
      <xdr:rowOff>180975</xdr:rowOff>
    </xdr:from>
    <xdr:ext cx="7333333" cy="1885714"/>
    <xdr:pic>
      <xdr:nvPicPr>
        <xdr:cNvPr id="8" name="Picture 7"/>
        <xdr:cNvPicPr>
          <a:picLocks noChangeAspect="1"/>
        </xdr:cNvPicPr>
      </xdr:nvPicPr>
      <xdr:blipFill>
        <a:blip xmlns:r="http://schemas.openxmlformats.org/officeDocument/2006/relationships" r:embed="rId1"/>
        <a:stretch>
          <a:fillRect/>
        </a:stretch>
      </xdr:blipFill>
      <xdr:spPr>
        <a:xfrm>
          <a:off x="11410950" y="33118425"/>
          <a:ext cx="7333333" cy="1885714"/>
        </a:xfrm>
        <a:prstGeom prst="rect">
          <a:avLst/>
        </a:prstGeom>
      </xdr:spPr>
    </xdr:pic>
    <xdr:clientData/>
  </xdr:oneCellAnchor>
  <xdr:oneCellAnchor>
    <xdr:from>
      <xdr:col>3</xdr:col>
      <xdr:colOff>57150</xdr:colOff>
      <xdr:row>49</xdr:row>
      <xdr:rowOff>1914525</xdr:rowOff>
    </xdr:from>
    <xdr:ext cx="7333333" cy="1885714"/>
    <xdr:pic>
      <xdr:nvPicPr>
        <xdr:cNvPr id="10" name="Picture 9"/>
        <xdr:cNvPicPr>
          <a:picLocks noChangeAspect="1"/>
        </xdr:cNvPicPr>
      </xdr:nvPicPr>
      <xdr:blipFill>
        <a:blip xmlns:r="http://schemas.openxmlformats.org/officeDocument/2006/relationships" r:embed="rId1"/>
        <a:stretch>
          <a:fillRect/>
        </a:stretch>
      </xdr:blipFill>
      <xdr:spPr>
        <a:xfrm>
          <a:off x="11391900" y="44605575"/>
          <a:ext cx="7333333" cy="1885714"/>
        </a:xfrm>
        <a:prstGeom prst="rect">
          <a:avLst/>
        </a:prstGeom>
      </xdr:spPr>
    </xdr:pic>
    <xdr:clientData/>
  </xdr:oneCellAnchor>
  <xdr:twoCellAnchor editAs="oneCell">
    <xdr:from>
      <xdr:col>3</xdr:col>
      <xdr:colOff>114300</xdr:colOff>
      <xdr:row>6</xdr:row>
      <xdr:rowOff>447675</xdr:rowOff>
    </xdr:from>
    <xdr:to>
      <xdr:col>10</xdr:col>
      <xdr:colOff>224407</xdr:colOff>
      <xdr:row>9</xdr:row>
      <xdr:rowOff>238363</xdr:rowOff>
    </xdr:to>
    <xdr:pic>
      <xdr:nvPicPr>
        <xdr:cNvPr id="13" name="Picture 12"/>
        <xdr:cNvPicPr>
          <a:picLocks noChangeAspect="1"/>
        </xdr:cNvPicPr>
      </xdr:nvPicPr>
      <xdr:blipFill>
        <a:blip xmlns:r="http://schemas.openxmlformats.org/officeDocument/2006/relationships" r:embed="rId2"/>
        <a:stretch>
          <a:fillRect/>
        </a:stretch>
      </xdr:blipFill>
      <xdr:spPr>
        <a:xfrm>
          <a:off x="11449050" y="4238625"/>
          <a:ext cx="4377307" cy="2743438"/>
        </a:xfrm>
        <a:prstGeom prst="rect">
          <a:avLst/>
        </a:prstGeom>
      </xdr:spPr>
    </xdr:pic>
    <xdr:clientData/>
  </xdr:twoCellAnchor>
  <xdr:twoCellAnchor editAs="oneCell">
    <xdr:from>
      <xdr:col>3</xdr:col>
      <xdr:colOff>57150</xdr:colOff>
      <xdr:row>45</xdr:row>
      <xdr:rowOff>47625</xdr:rowOff>
    </xdr:from>
    <xdr:to>
      <xdr:col>15</xdr:col>
      <xdr:colOff>76074</xdr:colOff>
      <xdr:row>46</xdr:row>
      <xdr:rowOff>26452</xdr:rowOff>
    </xdr:to>
    <xdr:pic>
      <xdr:nvPicPr>
        <xdr:cNvPr id="14" name="Picture 13"/>
        <xdr:cNvPicPr>
          <a:picLocks noChangeAspect="1"/>
        </xdr:cNvPicPr>
      </xdr:nvPicPr>
      <xdr:blipFill>
        <a:blip xmlns:r="http://schemas.openxmlformats.org/officeDocument/2006/relationships" r:embed="rId3"/>
        <a:stretch>
          <a:fillRect/>
        </a:stretch>
      </xdr:blipFill>
      <xdr:spPr>
        <a:xfrm>
          <a:off x="11391900" y="28051125"/>
          <a:ext cx="7334124" cy="1883827"/>
        </a:xfrm>
        <a:prstGeom prst="rect">
          <a:avLst/>
        </a:prstGeom>
      </xdr:spPr>
    </xdr:pic>
    <xdr:clientData/>
  </xdr:twoCellAnchor>
  <xdr:twoCellAnchor editAs="oneCell">
    <xdr:from>
      <xdr:col>3</xdr:col>
      <xdr:colOff>142875</xdr:colOff>
      <xdr:row>34</xdr:row>
      <xdr:rowOff>104775</xdr:rowOff>
    </xdr:from>
    <xdr:to>
      <xdr:col>11</xdr:col>
      <xdr:colOff>246939</xdr:colOff>
      <xdr:row>37</xdr:row>
      <xdr:rowOff>1560536</xdr:rowOff>
    </xdr:to>
    <xdr:pic>
      <xdr:nvPicPr>
        <xdr:cNvPr id="3" name="Picture 2"/>
        <xdr:cNvPicPr>
          <a:picLocks noChangeAspect="1"/>
        </xdr:cNvPicPr>
      </xdr:nvPicPr>
      <xdr:blipFill>
        <a:blip xmlns:r="http://schemas.openxmlformats.org/officeDocument/2006/relationships" r:embed="rId4"/>
        <a:stretch>
          <a:fillRect/>
        </a:stretch>
      </xdr:blipFill>
      <xdr:spPr>
        <a:xfrm>
          <a:off x="11477625" y="18526125"/>
          <a:ext cx="4980864" cy="3932261"/>
        </a:xfrm>
        <a:prstGeom prst="rect">
          <a:avLst/>
        </a:prstGeom>
      </xdr:spPr>
    </xdr:pic>
    <xdr:clientData/>
  </xdr:twoCellAnchor>
  <xdr:twoCellAnchor editAs="oneCell">
    <xdr:from>
      <xdr:col>3</xdr:col>
      <xdr:colOff>257175</xdr:colOff>
      <xdr:row>41</xdr:row>
      <xdr:rowOff>57150</xdr:rowOff>
    </xdr:from>
    <xdr:to>
      <xdr:col>11</xdr:col>
      <xdr:colOff>361239</xdr:colOff>
      <xdr:row>43</xdr:row>
      <xdr:rowOff>1703411</xdr:rowOff>
    </xdr:to>
    <xdr:pic>
      <xdr:nvPicPr>
        <xdr:cNvPr id="16" name="Picture 15"/>
        <xdr:cNvPicPr>
          <a:picLocks noChangeAspect="1"/>
        </xdr:cNvPicPr>
      </xdr:nvPicPr>
      <xdr:blipFill>
        <a:blip xmlns:r="http://schemas.openxmlformats.org/officeDocument/2006/relationships" r:embed="rId4"/>
        <a:stretch>
          <a:fillRect/>
        </a:stretch>
      </xdr:blipFill>
      <xdr:spPr>
        <a:xfrm>
          <a:off x="11591925" y="25079325"/>
          <a:ext cx="4980864" cy="3932261"/>
        </a:xfrm>
        <a:prstGeom prst="rect">
          <a:avLst/>
        </a:prstGeom>
      </xdr:spPr>
    </xdr:pic>
    <xdr:clientData/>
  </xdr:twoCellAnchor>
  <xdr:twoCellAnchor editAs="oneCell">
    <xdr:from>
      <xdr:col>3</xdr:col>
      <xdr:colOff>171450</xdr:colOff>
      <xdr:row>46</xdr:row>
      <xdr:rowOff>180975</xdr:rowOff>
    </xdr:from>
    <xdr:to>
      <xdr:col>11</xdr:col>
      <xdr:colOff>275514</xdr:colOff>
      <xdr:row>49</xdr:row>
      <xdr:rowOff>1627211</xdr:rowOff>
    </xdr:to>
    <xdr:pic>
      <xdr:nvPicPr>
        <xdr:cNvPr id="17" name="Picture 16"/>
        <xdr:cNvPicPr>
          <a:picLocks noChangeAspect="1"/>
        </xdr:cNvPicPr>
      </xdr:nvPicPr>
      <xdr:blipFill>
        <a:blip xmlns:r="http://schemas.openxmlformats.org/officeDocument/2006/relationships" r:embed="rId4"/>
        <a:stretch>
          <a:fillRect/>
        </a:stretch>
      </xdr:blipFill>
      <xdr:spPr>
        <a:xfrm>
          <a:off x="11506200" y="31613475"/>
          <a:ext cx="4980864" cy="3932261"/>
        </a:xfrm>
        <a:prstGeom prst="rect">
          <a:avLst/>
        </a:prstGeom>
      </xdr:spPr>
    </xdr:pic>
    <xdr:clientData/>
  </xdr:twoCellAnchor>
  <xdr:twoCellAnchor editAs="oneCell">
    <xdr:from>
      <xdr:col>3</xdr:col>
      <xdr:colOff>104775</xdr:colOff>
      <xdr:row>53</xdr:row>
      <xdr:rowOff>1047750</xdr:rowOff>
    </xdr:from>
    <xdr:to>
      <xdr:col>11</xdr:col>
      <xdr:colOff>208839</xdr:colOff>
      <xdr:row>57</xdr:row>
      <xdr:rowOff>150836</xdr:rowOff>
    </xdr:to>
    <xdr:pic>
      <xdr:nvPicPr>
        <xdr:cNvPr id="18" name="Picture 17"/>
        <xdr:cNvPicPr>
          <a:picLocks noChangeAspect="1"/>
        </xdr:cNvPicPr>
      </xdr:nvPicPr>
      <xdr:blipFill>
        <a:blip xmlns:r="http://schemas.openxmlformats.org/officeDocument/2006/relationships" r:embed="rId4"/>
        <a:stretch>
          <a:fillRect/>
        </a:stretch>
      </xdr:blipFill>
      <xdr:spPr>
        <a:xfrm>
          <a:off x="11439525" y="37576125"/>
          <a:ext cx="4980864" cy="393226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76200</xdr:colOff>
      <xdr:row>44</xdr:row>
      <xdr:rowOff>0</xdr:rowOff>
    </xdr:from>
    <xdr:to>
      <xdr:col>15</xdr:col>
      <xdr:colOff>94333</xdr:colOff>
      <xdr:row>45</xdr:row>
      <xdr:rowOff>361714</xdr:rowOff>
    </xdr:to>
    <xdr:pic>
      <xdr:nvPicPr>
        <xdr:cNvPr id="10" name="Picture 9"/>
        <xdr:cNvPicPr>
          <a:picLocks noChangeAspect="1"/>
        </xdr:cNvPicPr>
      </xdr:nvPicPr>
      <xdr:blipFill>
        <a:blip xmlns:r="http://schemas.openxmlformats.org/officeDocument/2006/relationships" r:embed="rId1"/>
        <a:stretch>
          <a:fillRect/>
        </a:stretch>
      </xdr:blipFill>
      <xdr:spPr>
        <a:xfrm>
          <a:off x="11410950" y="22945725"/>
          <a:ext cx="7333333" cy="1885714"/>
        </a:xfrm>
        <a:prstGeom prst="rect">
          <a:avLst/>
        </a:prstGeom>
      </xdr:spPr>
    </xdr:pic>
    <xdr:clientData/>
  </xdr:twoCellAnchor>
  <xdr:twoCellAnchor editAs="oneCell">
    <xdr:from>
      <xdr:col>3</xdr:col>
      <xdr:colOff>123825</xdr:colOff>
      <xdr:row>40</xdr:row>
      <xdr:rowOff>9525</xdr:rowOff>
    </xdr:from>
    <xdr:to>
      <xdr:col>10</xdr:col>
      <xdr:colOff>238125</xdr:colOff>
      <xdr:row>42</xdr:row>
      <xdr:rowOff>1171575</xdr:rowOff>
    </xdr:to>
    <xdr:pic>
      <xdr:nvPicPr>
        <xdr:cNvPr id="11" name="Picture 10"/>
        <xdr:cNvPicPr/>
      </xdr:nvPicPr>
      <xdr:blipFill>
        <a:blip xmlns:r="http://schemas.openxmlformats.org/officeDocument/2006/relationships" r:embed="rId2"/>
        <a:stretch>
          <a:fillRect/>
        </a:stretch>
      </xdr:blipFill>
      <xdr:spPr>
        <a:xfrm>
          <a:off x="11458575" y="19859625"/>
          <a:ext cx="4381500" cy="2743200"/>
        </a:xfrm>
        <a:prstGeom prst="rect">
          <a:avLst/>
        </a:prstGeom>
      </xdr:spPr>
    </xdr:pic>
    <xdr:clientData/>
  </xdr:twoCellAnchor>
  <xdr:twoCellAnchor editAs="oneCell">
    <xdr:from>
      <xdr:col>3</xdr:col>
      <xdr:colOff>28575</xdr:colOff>
      <xdr:row>49</xdr:row>
      <xdr:rowOff>9525</xdr:rowOff>
    </xdr:from>
    <xdr:to>
      <xdr:col>15</xdr:col>
      <xdr:colOff>46708</xdr:colOff>
      <xdr:row>49</xdr:row>
      <xdr:rowOff>1895239</xdr:rowOff>
    </xdr:to>
    <xdr:pic>
      <xdr:nvPicPr>
        <xdr:cNvPr id="16" name="Picture 15"/>
        <xdr:cNvPicPr>
          <a:picLocks noChangeAspect="1"/>
        </xdr:cNvPicPr>
      </xdr:nvPicPr>
      <xdr:blipFill>
        <a:blip xmlns:r="http://schemas.openxmlformats.org/officeDocument/2006/relationships" r:embed="rId1"/>
        <a:stretch>
          <a:fillRect/>
        </a:stretch>
      </xdr:blipFill>
      <xdr:spPr>
        <a:xfrm>
          <a:off x="11363325" y="30937200"/>
          <a:ext cx="7333333" cy="1885714"/>
        </a:xfrm>
        <a:prstGeom prst="rect">
          <a:avLst/>
        </a:prstGeom>
      </xdr:spPr>
    </xdr:pic>
    <xdr:clientData/>
  </xdr:twoCellAnchor>
  <xdr:twoCellAnchor editAs="oneCell">
    <xdr:from>
      <xdr:col>3</xdr:col>
      <xdr:colOff>123825</xdr:colOff>
      <xdr:row>58</xdr:row>
      <xdr:rowOff>161925</xdr:rowOff>
    </xdr:from>
    <xdr:to>
      <xdr:col>15</xdr:col>
      <xdr:colOff>141958</xdr:colOff>
      <xdr:row>61</xdr:row>
      <xdr:rowOff>1085614</xdr:rowOff>
    </xdr:to>
    <xdr:pic>
      <xdr:nvPicPr>
        <xdr:cNvPr id="17" name="Picture 16"/>
        <xdr:cNvPicPr>
          <a:picLocks noChangeAspect="1"/>
        </xdr:cNvPicPr>
      </xdr:nvPicPr>
      <xdr:blipFill>
        <a:blip xmlns:r="http://schemas.openxmlformats.org/officeDocument/2006/relationships" r:embed="rId1"/>
        <a:stretch>
          <a:fillRect/>
        </a:stretch>
      </xdr:blipFill>
      <xdr:spPr>
        <a:xfrm>
          <a:off x="11458575" y="40500300"/>
          <a:ext cx="7333333" cy="1885714"/>
        </a:xfrm>
        <a:prstGeom prst="rect">
          <a:avLst/>
        </a:prstGeom>
      </xdr:spPr>
    </xdr:pic>
    <xdr:clientData/>
  </xdr:twoCellAnchor>
  <xdr:twoCellAnchor editAs="oneCell">
    <xdr:from>
      <xdr:col>3</xdr:col>
      <xdr:colOff>190500</xdr:colOff>
      <xdr:row>45</xdr:row>
      <xdr:rowOff>400050</xdr:rowOff>
    </xdr:from>
    <xdr:to>
      <xdr:col>11</xdr:col>
      <xdr:colOff>294564</xdr:colOff>
      <xdr:row>48</xdr:row>
      <xdr:rowOff>112736</xdr:rowOff>
    </xdr:to>
    <xdr:pic>
      <xdr:nvPicPr>
        <xdr:cNvPr id="13" name="Picture 12"/>
        <xdr:cNvPicPr>
          <a:picLocks noChangeAspect="1"/>
        </xdr:cNvPicPr>
      </xdr:nvPicPr>
      <xdr:blipFill>
        <a:blip xmlns:r="http://schemas.openxmlformats.org/officeDocument/2006/relationships" r:embed="rId3"/>
        <a:stretch>
          <a:fillRect/>
        </a:stretch>
      </xdr:blipFill>
      <xdr:spPr>
        <a:xfrm>
          <a:off x="11525250" y="28860750"/>
          <a:ext cx="4980864" cy="3932261"/>
        </a:xfrm>
        <a:prstGeom prst="rect">
          <a:avLst/>
        </a:prstGeom>
      </xdr:spPr>
    </xdr:pic>
    <xdr:clientData/>
  </xdr:twoCellAnchor>
  <xdr:twoCellAnchor editAs="oneCell">
    <xdr:from>
      <xdr:col>3</xdr:col>
      <xdr:colOff>104775</xdr:colOff>
      <xdr:row>50</xdr:row>
      <xdr:rowOff>9525</xdr:rowOff>
    </xdr:from>
    <xdr:to>
      <xdr:col>11</xdr:col>
      <xdr:colOff>208839</xdr:colOff>
      <xdr:row>53</xdr:row>
      <xdr:rowOff>1627211</xdr:rowOff>
    </xdr:to>
    <xdr:pic>
      <xdr:nvPicPr>
        <xdr:cNvPr id="18" name="Picture 17"/>
        <xdr:cNvPicPr>
          <a:picLocks noChangeAspect="1"/>
        </xdr:cNvPicPr>
      </xdr:nvPicPr>
      <xdr:blipFill>
        <a:blip xmlns:r="http://schemas.openxmlformats.org/officeDocument/2006/relationships" r:embed="rId3"/>
        <a:stretch>
          <a:fillRect/>
        </a:stretch>
      </xdr:blipFill>
      <xdr:spPr>
        <a:xfrm>
          <a:off x="11439525" y="34975800"/>
          <a:ext cx="4980864" cy="3932261"/>
        </a:xfrm>
        <a:prstGeom prst="rect">
          <a:avLst/>
        </a:prstGeom>
      </xdr:spPr>
    </xdr:pic>
    <xdr:clientData/>
  </xdr:twoCellAnchor>
  <xdr:twoCellAnchor editAs="oneCell">
    <xdr:from>
      <xdr:col>3</xdr:col>
      <xdr:colOff>133350</xdr:colOff>
      <xdr:row>55</xdr:row>
      <xdr:rowOff>152400</xdr:rowOff>
    </xdr:from>
    <xdr:to>
      <xdr:col>11</xdr:col>
      <xdr:colOff>237414</xdr:colOff>
      <xdr:row>57</xdr:row>
      <xdr:rowOff>1798661</xdr:rowOff>
    </xdr:to>
    <xdr:pic>
      <xdr:nvPicPr>
        <xdr:cNvPr id="19" name="Picture 18"/>
        <xdr:cNvPicPr>
          <a:picLocks noChangeAspect="1"/>
        </xdr:cNvPicPr>
      </xdr:nvPicPr>
      <xdr:blipFill>
        <a:blip xmlns:r="http://schemas.openxmlformats.org/officeDocument/2006/relationships" r:embed="rId3"/>
        <a:stretch>
          <a:fillRect/>
        </a:stretch>
      </xdr:blipFill>
      <xdr:spPr>
        <a:xfrm>
          <a:off x="11468100" y="39538275"/>
          <a:ext cx="4980864" cy="3932261"/>
        </a:xfrm>
        <a:prstGeom prst="rect">
          <a:avLst/>
        </a:prstGeom>
      </xdr:spPr>
    </xdr:pic>
    <xdr:clientData/>
  </xdr:twoCellAnchor>
  <xdr:twoCellAnchor editAs="oneCell">
    <xdr:from>
      <xdr:col>3</xdr:col>
      <xdr:colOff>114300</xdr:colOff>
      <xdr:row>61</xdr:row>
      <xdr:rowOff>590550</xdr:rowOff>
    </xdr:from>
    <xdr:to>
      <xdr:col>11</xdr:col>
      <xdr:colOff>218364</xdr:colOff>
      <xdr:row>65</xdr:row>
      <xdr:rowOff>112736</xdr:rowOff>
    </xdr:to>
    <xdr:pic>
      <xdr:nvPicPr>
        <xdr:cNvPr id="20" name="Picture 19"/>
        <xdr:cNvPicPr>
          <a:picLocks noChangeAspect="1"/>
        </xdr:cNvPicPr>
      </xdr:nvPicPr>
      <xdr:blipFill>
        <a:blip xmlns:r="http://schemas.openxmlformats.org/officeDocument/2006/relationships" r:embed="rId3"/>
        <a:stretch>
          <a:fillRect/>
        </a:stretch>
      </xdr:blipFill>
      <xdr:spPr>
        <a:xfrm>
          <a:off x="11449050" y="45158025"/>
          <a:ext cx="4980864" cy="3932261"/>
        </a:xfrm>
        <a:prstGeom prst="rect">
          <a:avLst/>
        </a:prstGeom>
      </xdr:spPr>
    </xdr:pic>
    <xdr:clientData/>
  </xdr:twoCellAnchor>
  <xdr:twoCellAnchor editAs="oneCell">
    <xdr:from>
      <xdr:col>3</xdr:col>
      <xdr:colOff>76200</xdr:colOff>
      <xdr:row>19</xdr:row>
      <xdr:rowOff>180975</xdr:rowOff>
    </xdr:from>
    <xdr:to>
      <xdr:col>11</xdr:col>
      <xdr:colOff>180264</xdr:colOff>
      <xdr:row>28</xdr:row>
      <xdr:rowOff>84161</xdr:rowOff>
    </xdr:to>
    <xdr:pic>
      <xdr:nvPicPr>
        <xdr:cNvPr id="21" name="Picture 20"/>
        <xdr:cNvPicPr>
          <a:picLocks noChangeAspect="1"/>
        </xdr:cNvPicPr>
      </xdr:nvPicPr>
      <xdr:blipFill>
        <a:blip xmlns:r="http://schemas.openxmlformats.org/officeDocument/2006/relationships" r:embed="rId3"/>
        <a:stretch>
          <a:fillRect/>
        </a:stretch>
      </xdr:blipFill>
      <xdr:spPr>
        <a:xfrm>
          <a:off x="11410950" y="11677650"/>
          <a:ext cx="4980864" cy="393226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3</xdr:col>
      <xdr:colOff>76200</xdr:colOff>
      <xdr:row>40</xdr:row>
      <xdr:rowOff>180975</xdr:rowOff>
    </xdr:from>
    <xdr:ext cx="7333333" cy="1885714"/>
    <xdr:pic>
      <xdr:nvPicPr>
        <xdr:cNvPr id="4" name="Picture 3"/>
        <xdr:cNvPicPr>
          <a:picLocks noChangeAspect="1"/>
        </xdr:cNvPicPr>
      </xdr:nvPicPr>
      <xdr:blipFill>
        <a:blip xmlns:r="http://schemas.openxmlformats.org/officeDocument/2006/relationships" r:embed="rId1"/>
        <a:stretch>
          <a:fillRect/>
        </a:stretch>
      </xdr:blipFill>
      <xdr:spPr>
        <a:xfrm>
          <a:off x="11410950" y="21583650"/>
          <a:ext cx="7333333" cy="1885714"/>
        </a:xfrm>
        <a:prstGeom prst="rect">
          <a:avLst/>
        </a:prstGeom>
      </xdr:spPr>
    </xdr:pic>
    <xdr:clientData/>
  </xdr:oneCellAnchor>
  <xdr:oneCellAnchor>
    <xdr:from>
      <xdr:col>3</xdr:col>
      <xdr:colOff>57150</xdr:colOff>
      <xdr:row>51</xdr:row>
      <xdr:rowOff>1914525</xdr:rowOff>
    </xdr:from>
    <xdr:ext cx="7333333" cy="1885714"/>
    <xdr:pic>
      <xdr:nvPicPr>
        <xdr:cNvPr id="6" name="Picture 5"/>
        <xdr:cNvPicPr>
          <a:picLocks noChangeAspect="1"/>
        </xdr:cNvPicPr>
      </xdr:nvPicPr>
      <xdr:blipFill>
        <a:blip xmlns:r="http://schemas.openxmlformats.org/officeDocument/2006/relationships" r:embed="rId1"/>
        <a:stretch>
          <a:fillRect/>
        </a:stretch>
      </xdr:blipFill>
      <xdr:spPr>
        <a:xfrm>
          <a:off x="11391900" y="33070800"/>
          <a:ext cx="7333333" cy="1885714"/>
        </a:xfrm>
        <a:prstGeom prst="rect">
          <a:avLst/>
        </a:prstGeom>
      </xdr:spPr>
    </xdr:pic>
    <xdr:clientData/>
  </xdr:oneCellAnchor>
  <xdr:oneCellAnchor>
    <xdr:from>
      <xdr:col>3</xdr:col>
      <xdr:colOff>104775</xdr:colOff>
      <xdr:row>47</xdr:row>
      <xdr:rowOff>28575</xdr:rowOff>
    </xdr:from>
    <xdr:ext cx="7333333" cy="1885714"/>
    <xdr:pic>
      <xdr:nvPicPr>
        <xdr:cNvPr id="9" name="Picture 8"/>
        <xdr:cNvPicPr>
          <a:picLocks noChangeAspect="1"/>
        </xdr:cNvPicPr>
      </xdr:nvPicPr>
      <xdr:blipFill>
        <a:blip xmlns:r="http://schemas.openxmlformats.org/officeDocument/2006/relationships" r:embed="rId1"/>
        <a:stretch>
          <a:fillRect/>
        </a:stretch>
      </xdr:blipFill>
      <xdr:spPr>
        <a:xfrm>
          <a:off x="11439525" y="28222575"/>
          <a:ext cx="7333333" cy="1885714"/>
        </a:xfrm>
        <a:prstGeom prst="rect">
          <a:avLst/>
        </a:prstGeom>
      </xdr:spPr>
    </xdr:pic>
    <xdr:clientData/>
  </xdr:oneCellAnchor>
  <xdr:twoCellAnchor editAs="oneCell">
    <xdr:from>
      <xdr:col>3</xdr:col>
      <xdr:colOff>171450</xdr:colOff>
      <xdr:row>6</xdr:row>
      <xdr:rowOff>600075</xdr:rowOff>
    </xdr:from>
    <xdr:to>
      <xdr:col>10</xdr:col>
      <xdr:colOff>281557</xdr:colOff>
      <xdr:row>9</xdr:row>
      <xdr:rowOff>390763</xdr:rowOff>
    </xdr:to>
    <xdr:pic>
      <xdr:nvPicPr>
        <xdr:cNvPr id="10" name="Picture 9"/>
        <xdr:cNvPicPr>
          <a:picLocks noChangeAspect="1"/>
        </xdr:cNvPicPr>
      </xdr:nvPicPr>
      <xdr:blipFill>
        <a:blip xmlns:r="http://schemas.openxmlformats.org/officeDocument/2006/relationships" r:embed="rId2"/>
        <a:stretch>
          <a:fillRect/>
        </a:stretch>
      </xdr:blipFill>
      <xdr:spPr>
        <a:xfrm>
          <a:off x="11506200" y="4391025"/>
          <a:ext cx="4377307" cy="2743438"/>
        </a:xfrm>
        <a:prstGeom prst="rect">
          <a:avLst/>
        </a:prstGeom>
      </xdr:spPr>
    </xdr:pic>
    <xdr:clientData/>
  </xdr:twoCellAnchor>
  <xdr:twoCellAnchor editAs="oneCell">
    <xdr:from>
      <xdr:col>3</xdr:col>
      <xdr:colOff>38100</xdr:colOff>
      <xdr:row>37</xdr:row>
      <xdr:rowOff>104775</xdr:rowOff>
    </xdr:from>
    <xdr:to>
      <xdr:col>11</xdr:col>
      <xdr:colOff>142164</xdr:colOff>
      <xdr:row>39</xdr:row>
      <xdr:rowOff>1751036</xdr:rowOff>
    </xdr:to>
    <xdr:pic>
      <xdr:nvPicPr>
        <xdr:cNvPr id="11" name="Picture 10"/>
        <xdr:cNvPicPr>
          <a:picLocks noChangeAspect="1"/>
        </xdr:cNvPicPr>
      </xdr:nvPicPr>
      <xdr:blipFill>
        <a:blip xmlns:r="http://schemas.openxmlformats.org/officeDocument/2006/relationships" r:embed="rId3"/>
        <a:stretch>
          <a:fillRect/>
        </a:stretch>
      </xdr:blipFill>
      <xdr:spPr>
        <a:xfrm>
          <a:off x="11372850" y="18907125"/>
          <a:ext cx="4980864" cy="3932261"/>
        </a:xfrm>
        <a:prstGeom prst="rect">
          <a:avLst/>
        </a:prstGeom>
      </xdr:spPr>
    </xdr:pic>
    <xdr:clientData/>
  </xdr:twoCellAnchor>
  <xdr:twoCellAnchor editAs="oneCell">
    <xdr:from>
      <xdr:col>3</xdr:col>
      <xdr:colOff>95250</xdr:colOff>
      <xdr:row>43</xdr:row>
      <xdr:rowOff>190500</xdr:rowOff>
    </xdr:from>
    <xdr:to>
      <xdr:col>11</xdr:col>
      <xdr:colOff>199314</xdr:colOff>
      <xdr:row>45</xdr:row>
      <xdr:rowOff>1836761</xdr:rowOff>
    </xdr:to>
    <xdr:pic>
      <xdr:nvPicPr>
        <xdr:cNvPr id="12" name="Picture 11"/>
        <xdr:cNvPicPr>
          <a:picLocks noChangeAspect="1"/>
        </xdr:cNvPicPr>
      </xdr:nvPicPr>
      <xdr:blipFill>
        <a:blip xmlns:r="http://schemas.openxmlformats.org/officeDocument/2006/relationships" r:embed="rId3"/>
        <a:stretch>
          <a:fillRect/>
        </a:stretch>
      </xdr:blipFill>
      <xdr:spPr>
        <a:xfrm>
          <a:off x="11430000" y="25498425"/>
          <a:ext cx="4980864" cy="3932261"/>
        </a:xfrm>
        <a:prstGeom prst="rect">
          <a:avLst/>
        </a:prstGeom>
      </xdr:spPr>
    </xdr:pic>
    <xdr:clientData/>
  </xdr:twoCellAnchor>
  <xdr:twoCellAnchor editAs="oneCell">
    <xdr:from>
      <xdr:col>3</xdr:col>
      <xdr:colOff>123825</xdr:colOff>
      <xdr:row>49</xdr:row>
      <xdr:rowOff>66675</xdr:rowOff>
    </xdr:from>
    <xdr:to>
      <xdr:col>11</xdr:col>
      <xdr:colOff>227889</xdr:colOff>
      <xdr:row>51</xdr:row>
      <xdr:rowOff>1712936</xdr:rowOff>
    </xdr:to>
    <xdr:pic>
      <xdr:nvPicPr>
        <xdr:cNvPr id="13" name="Picture 12"/>
        <xdr:cNvPicPr>
          <a:picLocks noChangeAspect="1"/>
        </xdr:cNvPicPr>
      </xdr:nvPicPr>
      <xdr:blipFill>
        <a:blip xmlns:r="http://schemas.openxmlformats.org/officeDocument/2006/relationships" r:embed="rId3"/>
        <a:stretch>
          <a:fillRect/>
        </a:stretch>
      </xdr:blipFill>
      <xdr:spPr>
        <a:xfrm>
          <a:off x="11458575" y="31889700"/>
          <a:ext cx="4980864" cy="3932261"/>
        </a:xfrm>
        <a:prstGeom prst="rect">
          <a:avLst/>
        </a:prstGeom>
      </xdr:spPr>
    </xdr:pic>
    <xdr:clientData/>
  </xdr:twoCellAnchor>
  <xdr:twoCellAnchor editAs="oneCell">
    <xdr:from>
      <xdr:col>3</xdr:col>
      <xdr:colOff>28575</xdr:colOff>
      <xdr:row>55</xdr:row>
      <xdr:rowOff>685800</xdr:rowOff>
    </xdr:from>
    <xdr:to>
      <xdr:col>11</xdr:col>
      <xdr:colOff>132639</xdr:colOff>
      <xdr:row>58</xdr:row>
      <xdr:rowOff>398486</xdr:rowOff>
    </xdr:to>
    <xdr:pic>
      <xdr:nvPicPr>
        <xdr:cNvPr id="14" name="Picture 13"/>
        <xdr:cNvPicPr>
          <a:picLocks noChangeAspect="1"/>
        </xdr:cNvPicPr>
      </xdr:nvPicPr>
      <xdr:blipFill>
        <a:blip xmlns:r="http://schemas.openxmlformats.org/officeDocument/2006/relationships" r:embed="rId3"/>
        <a:stretch>
          <a:fillRect/>
        </a:stretch>
      </xdr:blipFill>
      <xdr:spPr>
        <a:xfrm>
          <a:off x="11363325" y="37690425"/>
          <a:ext cx="4980864" cy="393226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tabSelected="1" workbookViewId="0">
      <selection activeCell="B1" sqref="B1"/>
    </sheetView>
  </sheetViews>
  <sheetFormatPr defaultRowHeight="15" x14ac:dyDescent="0.25"/>
  <cols>
    <col min="1" max="1" width="59.85546875" style="6" customWidth="1"/>
    <col min="2" max="2" width="101" customWidth="1"/>
  </cols>
  <sheetData>
    <row r="1" spans="1:2" ht="139.5" customHeight="1" x14ac:dyDescent="0.25">
      <c r="A1" s="29" t="s">
        <v>127</v>
      </c>
      <c r="B1" s="38" t="s">
        <v>129</v>
      </c>
    </row>
    <row r="7" spans="1:2" ht="150" x14ac:dyDescent="0.25">
      <c r="A7" s="29" t="s">
        <v>128</v>
      </c>
      <c r="B7" s="38" t="s">
        <v>130</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topLeftCell="A10" workbookViewId="0">
      <selection activeCell="B11" sqref="B11"/>
    </sheetView>
  </sheetViews>
  <sheetFormatPr defaultColWidth="9.140625" defaultRowHeight="15" x14ac:dyDescent="0.25"/>
  <cols>
    <col min="1" max="1" width="66.28515625" style="6" customWidth="1"/>
    <col min="2" max="2" width="16" style="6" customWidth="1"/>
    <col min="3" max="3" width="50.28515625" style="6" customWidth="1"/>
    <col min="4" max="16384" width="9.140625" style="6"/>
  </cols>
  <sheetData>
    <row r="1" spans="1:3" ht="18.75" x14ac:dyDescent="0.3">
      <c r="A1" s="5" t="s">
        <v>24</v>
      </c>
      <c r="B1" s="5" t="s">
        <v>25</v>
      </c>
      <c r="C1" s="5" t="s">
        <v>26</v>
      </c>
    </row>
    <row r="3" spans="1:3" ht="45" x14ac:dyDescent="0.25">
      <c r="A3" s="6" t="s">
        <v>27</v>
      </c>
      <c r="B3" s="31">
        <v>43632</v>
      </c>
      <c r="C3" s="6" t="s">
        <v>28</v>
      </c>
    </row>
    <row r="4" spans="1:3" ht="45" x14ac:dyDescent="0.25">
      <c r="A4" s="6" t="s">
        <v>29</v>
      </c>
      <c r="B4" s="31">
        <v>43635</v>
      </c>
      <c r="C4" s="6" t="s">
        <v>30</v>
      </c>
    </row>
    <row r="5" spans="1:3" ht="90" x14ac:dyDescent="0.25">
      <c r="A5" s="6" t="s">
        <v>44</v>
      </c>
      <c r="B5" s="31">
        <v>43671</v>
      </c>
      <c r="C5" s="6" t="s">
        <v>38</v>
      </c>
    </row>
    <row r="6" spans="1:3" ht="30" x14ac:dyDescent="0.25">
      <c r="A6" s="6" t="s">
        <v>46</v>
      </c>
      <c r="B6" s="31">
        <v>43672</v>
      </c>
      <c r="C6" s="6" t="s">
        <v>47</v>
      </c>
    </row>
    <row r="7" spans="1:3" ht="105" x14ac:dyDescent="0.25">
      <c r="A7" s="6" t="s">
        <v>49</v>
      </c>
      <c r="B7" s="31">
        <v>43693</v>
      </c>
      <c r="C7" s="6" t="s">
        <v>48</v>
      </c>
    </row>
    <row r="8" spans="1:3" ht="285" x14ac:dyDescent="0.25">
      <c r="A8" s="6" t="s">
        <v>126</v>
      </c>
      <c r="B8" s="31">
        <v>43734</v>
      </c>
      <c r="C8" s="6" t="s">
        <v>137</v>
      </c>
    </row>
    <row r="9" spans="1:3" ht="45" x14ac:dyDescent="0.25">
      <c r="A9" s="6" t="s">
        <v>154</v>
      </c>
      <c r="B9" s="31">
        <v>43881</v>
      </c>
      <c r="C9" s="6" t="s">
        <v>139</v>
      </c>
    </row>
    <row r="10" spans="1:3" ht="75" x14ac:dyDescent="0.25">
      <c r="A10" s="6" t="s">
        <v>153</v>
      </c>
      <c r="B10" s="31">
        <v>43977</v>
      </c>
    </row>
    <row r="11" spans="1:3" ht="30" x14ac:dyDescent="0.25">
      <c r="A11" s="6" t="s">
        <v>155</v>
      </c>
      <c r="B11" s="31">
        <v>44006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5"/>
  <sheetViews>
    <sheetView zoomScaleNormal="100" workbookViewId="0">
      <selection activeCell="C23" sqref="C23"/>
    </sheetView>
  </sheetViews>
  <sheetFormatPr defaultRowHeight="15" x14ac:dyDescent="0.25"/>
  <cols>
    <col min="1" max="1" width="45.7109375" style="39" customWidth="1"/>
    <col min="2" max="2" width="32.28515625" style="46" customWidth="1"/>
    <col min="3" max="3" width="92" style="39" customWidth="1"/>
    <col min="4" max="23" width="9.140625" style="37"/>
  </cols>
  <sheetData>
    <row r="1" spans="1:23" s="2" customFormat="1" ht="21" x14ac:dyDescent="0.25">
      <c r="A1" s="32"/>
      <c r="B1" s="49" t="s">
        <v>125</v>
      </c>
      <c r="C1" s="33"/>
      <c r="D1" s="34"/>
      <c r="E1" s="34"/>
      <c r="F1" s="34"/>
      <c r="G1" s="34"/>
      <c r="H1" s="34"/>
      <c r="I1" s="34"/>
      <c r="J1" s="34"/>
      <c r="K1" s="34"/>
      <c r="L1" s="34"/>
      <c r="M1" s="34"/>
      <c r="N1" s="34"/>
      <c r="O1" s="34"/>
      <c r="P1" s="34"/>
      <c r="Q1" s="34"/>
      <c r="R1" s="34"/>
      <c r="S1" s="34"/>
      <c r="T1" s="34"/>
      <c r="U1" s="34"/>
      <c r="V1" s="34"/>
      <c r="W1" s="34"/>
    </row>
    <row r="2" spans="1:23" ht="37.5" x14ac:dyDescent="0.25">
      <c r="A2" s="35" t="s">
        <v>131</v>
      </c>
      <c r="B2" s="48"/>
      <c r="C2" s="36"/>
    </row>
    <row r="3" spans="1:23" ht="60" x14ac:dyDescent="0.25">
      <c r="A3" s="53" t="s">
        <v>61</v>
      </c>
      <c r="B3" s="71">
        <v>1</v>
      </c>
      <c r="C3" s="38" t="s">
        <v>31</v>
      </c>
    </row>
    <row r="4" spans="1:23" ht="60" x14ac:dyDescent="0.25">
      <c r="A4" s="53" t="s">
        <v>64</v>
      </c>
      <c r="B4" s="71">
        <v>0</v>
      </c>
      <c r="C4" s="38" t="s">
        <v>41</v>
      </c>
    </row>
    <row r="5" spans="1:23" ht="60" x14ac:dyDescent="0.25">
      <c r="A5" s="53" t="s">
        <v>62</v>
      </c>
      <c r="B5" s="71">
        <v>1</v>
      </c>
      <c r="C5" s="38" t="s">
        <v>32</v>
      </c>
    </row>
    <row r="6" spans="1:23" ht="60" x14ac:dyDescent="0.25">
      <c r="A6" s="53" t="s">
        <v>63</v>
      </c>
      <c r="B6" s="71">
        <v>0</v>
      </c>
      <c r="C6" s="38" t="s">
        <v>33</v>
      </c>
    </row>
    <row r="7" spans="1:23" ht="51.75" customHeight="1" x14ac:dyDescent="0.25">
      <c r="A7" s="53"/>
      <c r="B7" s="75" t="str">
        <f>IF(SUM(B3:B6) = 0, "Error:  No topics were selected above to be modeled.  Please enter one or more topics to be modeled", "")</f>
        <v/>
      </c>
      <c r="C7" s="38"/>
    </row>
    <row r="8" spans="1:23" ht="75" x14ac:dyDescent="0.25">
      <c r="A8" s="53" t="s">
        <v>51</v>
      </c>
      <c r="B8" s="76">
        <v>4000</v>
      </c>
      <c r="C8" s="38" t="s">
        <v>58</v>
      </c>
    </row>
    <row r="9" spans="1:23" x14ac:dyDescent="0.25">
      <c r="A9" s="53"/>
      <c r="B9" s="76"/>
      <c r="C9" s="38"/>
    </row>
    <row r="10" spans="1:23" ht="90" x14ac:dyDescent="0.25">
      <c r="A10" s="53" t="s">
        <v>136</v>
      </c>
      <c r="B10" s="76">
        <v>37</v>
      </c>
      <c r="C10" s="38" t="s">
        <v>135</v>
      </c>
    </row>
    <row r="11" spans="1:23" x14ac:dyDescent="0.25">
      <c r="A11" s="53"/>
      <c r="B11" s="76"/>
      <c r="C11" s="38"/>
    </row>
    <row r="12" spans="1:23" ht="180" x14ac:dyDescent="0.25">
      <c r="A12" s="53" t="s">
        <v>57</v>
      </c>
      <c r="B12" s="76">
        <v>0</v>
      </c>
      <c r="C12" s="38" t="s">
        <v>74</v>
      </c>
    </row>
    <row r="13" spans="1:23" x14ac:dyDescent="0.25">
      <c r="A13" s="52"/>
      <c r="B13" s="78"/>
      <c r="C13" s="38"/>
    </row>
    <row r="14" spans="1:23" x14ac:dyDescent="0.25">
      <c r="A14" s="53" t="s">
        <v>65</v>
      </c>
      <c r="B14" s="71">
        <v>1765</v>
      </c>
      <c r="C14" s="38" t="s">
        <v>43</v>
      </c>
    </row>
    <row r="15" spans="1:23" x14ac:dyDescent="0.25">
      <c r="A15" s="53" t="s">
        <v>50</v>
      </c>
      <c r="B15" s="71">
        <v>2000</v>
      </c>
      <c r="C15" s="38" t="s">
        <v>42</v>
      </c>
    </row>
    <row r="16" spans="1:23" x14ac:dyDescent="0.25">
      <c r="A16" s="53" t="s">
        <v>66</v>
      </c>
      <c r="B16" s="71">
        <v>700</v>
      </c>
      <c r="C16" s="38" t="s">
        <v>39</v>
      </c>
    </row>
    <row r="17" spans="1:23" x14ac:dyDescent="0.25">
      <c r="A17" s="53"/>
      <c r="B17" s="71"/>
      <c r="C17" s="38"/>
    </row>
    <row r="18" spans="1:23" ht="75" x14ac:dyDescent="0.25">
      <c r="A18" s="53" t="s">
        <v>89</v>
      </c>
      <c r="B18" s="71">
        <v>10</v>
      </c>
      <c r="C18" s="38" t="s">
        <v>88</v>
      </c>
      <c r="F18"/>
    </row>
    <row r="19" spans="1:23" ht="30" x14ac:dyDescent="0.25">
      <c r="A19" s="53" t="s">
        <v>0</v>
      </c>
      <c r="B19" s="76">
        <v>50000</v>
      </c>
      <c r="C19" s="38" t="s">
        <v>92</v>
      </c>
    </row>
    <row r="20" spans="1:23" x14ac:dyDescent="0.25">
      <c r="A20" s="53" t="s">
        <v>1</v>
      </c>
      <c r="B20" s="76">
        <v>20000</v>
      </c>
      <c r="C20" s="38" t="s">
        <v>53</v>
      </c>
    </row>
    <row r="21" spans="1:23" x14ac:dyDescent="0.25">
      <c r="A21" s="53" t="s">
        <v>40</v>
      </c>
      <c r="B21" s="76">
        <v>0</v>
      </c>
      <c r="C21" s="38" t="s">
        <v>54</v>
      </c>
    </row>
    <row r="22" spans="1:23" ht="42.75" customHeight="1" x14ac:dyDescent="0.25">
      <c r="A22" s="53"/>
      <c r="B22" s="79" t="str">
        <f>IF(SUM(B19:B21) = 0,"Error:  No EPS rates were selected above to be modeled.  Please enter EPS rates to be modeled", "")</f>
        <v/>
      </c>
      <c r="C22" s="38"/>
    </row>
    <row r="23" spans="1:23" ht="60" x14ac:dyDescent="0.25">
      <c r="A23" s="53" t="s">
        <v>67</v>
      </c>
      <c r="B23" s="71">
        <v>48</v>
      </c>
      <c r="C23" s="38" t="s">
        <v>60</v>
      </c>
    </row>
    <row r="24" spans="1:23" x14ac:dyDescent="0.25">
      <c r="A24" s="53"/>
      <c r="B24" s="71"/>
      <c r="C24" s="38"/>
    </row>
    <row r="25" spans="1:23" ht="30" x14ac:dyDescent="0.25">
      <c r="A25" s="53" t="s">
        <v>37</v>
      </c>
      <c r="B25" s="71">
        <v>3</v>
      </c>
      <c r="C25" s="38" t="s">
        <v>45</v>
      </c>
    </row>
    <row r="26" spans="1:23" ht="30" x14ac:dyDescent="0.25">
      <c r="A26" s="53" t="s">
        <v>68</v>
      </c>
      <c r="B26" s="71">
        <v>2</v>
      </c>
      <c r="C26" s="38" t="s">
        <v>93</v>
      </c>
    </row>
    <row r="27" spans="1:23" x14ac:dyDescent="0.25">
      <c r="A27" s="52"/>
      <c r="B27" s="78"/>
      <c r="C27" s="38"/>
    </row>
    <row r="28" spans="1:23" s="1" customFormat="1" ht="21.75" customHeight="1" x14ac:dyDescent="0.25">
      <c r="A28" s="80" t="s">
        <v>7</v>
      </c>
      <c r="B28" s="81"/>
      <c r="C28" s="82"/>
      <c r="D28" s="41"/>
      <c r="E28" s="41"/>
      <c r="F28" s="41"/>
      <c r="G28" s="41"/>
      <c r="H28" s="41"/>
      <c r="I28" s="41"/>
      <c r="J28" s="41"/>
      <c r="K28" s="41"/>
      <c r="L28" s="41"/>
      <c r="M28" s="41"/>
      <c r="N28" s="41"/>
      <c r="O28" s="41"/>
      <c r="P28" s="41"/>
      <c r="Q28" s="41"/>
      <c r="R28" s="41"/>
      <c r="S28" s="41"/>
      <c r="T28" s="41"/>
      <c r="U28" s="41"/>
      <c r="V28" s="41"/>
      <c r="W28" s="41"/>
    </row>
    <row r="29" spans="1:23" ht="30" x14ac:dyDescent="0.25">
      <c r="A29" s="83" t="s">
        <v>69</v>
      </c>
      <c r="B29" s="84">
        <f>ROUNDUP( (((B3*B14*B19*(B23*60*60))/B25)/(1024*1024*1024))*B26,0)</f>
        <v>9469</v>
      </c>
      <c r="C29" s="85" t="s">
        <v>102</v>
      </c>
    </row>
    <row r="30" spans="1:23" ht="75" x14ac:dyDescent="0.25">
      <c r="A30" s="83" t="s">
        <v>72</v>
      </c>
      <c r="B30" s="84">
        <f>ROUNDUP(B4*B29,0)</f>
        <v>0</v>
      </c>
      <c r="C30" s="86" t="s">
        <v>134</v>
      </c>
    </row>
    <row r="31" spans="1:23" ht="30" x14ac:dyDescent="0.25">
      <c r="A31" s="83" t="s">
        <v>70</v>
      </c>
      <c r="B31" s="84">
        <f>ROUNDUP((((B5*B15*B20*(B23*60*60))/B25)/(1024*1024*1024))*B26,0)</f>
        <v>4292</v>
      </c>
      <c r="C31" s="85" t="s">
        <v>102</v>
      </c>
    </row>
    <row r="32" spans="1:23" ht="60" x14ac:dyDescent="0.25">
      <c r="A32" s="83" t="s">
        <v>71</v>
      </c>
      <c r="B32" s="84">
        <f xml:space="preserve"> ROUNDUP((((B6*B16*B21*(B23*60*60))/B25)/(1024*1024*1024))*B26,0)</f>
        <v>0</v>
      </c>
      <c r="C32" s="85" t="s">
        <v>103</v>
      </c>
    </row>
    <row r="33" spans="1:3" x14ac:dyDescent="0.25">
      <c r="A33" s="87"/>
      <c r="B33" s="88"/>
      <c r="C33" s="85"/>
    </row>
    <row r="34" spans="1:3" ht="30" x14ac:dyDescent="0.25">
      <c r="A34" s="87" t="s">
        <v>56</v>
      </c>
      <c r="B34" s="88">
        <f xml:space="preserve"> ROUNDUP(SUM(B29:B32),0)</f>
        <v>13761</v>
      </c>
      <c r="C34" s="85" t="s">
        <v>81</v>
      </c>
    </row>
    <row r="35" spans="1:3" ht="180" x14ac:dyDescent="0.25">
      <c r="A35" s="106" t="s">
        <v>52</v>
      </c>
      <c r="B35" s="105">
        <f>IF(B8&lt;667,B8*15%,100) + (ROUNDUP(B29*0.2%,0)) + (ROUNDUP(B30*0.2%,0)) + (ROUNDUP(B31*0.2%,0)) + (ROUNDUP(B32*0.2%,0))+B10</f>
        <v>165</v>
      </c>
      <c r="C35" s="85" t="s">
        <v>73</v>
      </c>
    </row>
    <row r="36" spans="1:3" x14ac:dyDescent="0.25">
      <c r="A36" s="83"/>
      <c r="B36" s="84"/>
      <c r="C36" s="89"/>
    </row>
    <row r="37" spans="1:3" ht="81.75" customHeight="1" x14ac:dyDescent="0.25">
      <c r="A37" s="87" t="s">
        <v>55</v>
      </c>
      <c r="B37" s="90">
        <f>IF(B8-B35&gt;0,B8-B35,"Error:  Available disk space on each Worker Node of " &amp; B8 &amp; " GB is insufficient to store a single day's data based on the Retention Period.")</f>
        <v>3835</v>
      </c>
      <c r="C37" s="85" t="s">
        <v>85</v>
      </c>
    </row>
    <row r="38" spans="1:3" x14ac:dyDescent="0.25">
      <c r="A38" s="83"/>
      <c r="B38" s="91"/>
      <c r="C38" s="92"/>
    </row>
    <row r="39" spans="1:3" ht="112.5" customHeight="1" x14ac:dyDescent="0.25">
      <c r="A39" s="93" t="s">
        <v>59</v>
      </c>
      <c r="B39" s="94">
        <f>IF(ISTEXT(B37),"Error:  Available disk space on each Worker Node of " &amp; B8 &amp; " GB is insufficient to store a single day's data based on the Retention Period",ROUNDUP(B34/B37,0) + B12)</f>
        <v>4</v>
      </c>
      <c r="C39" s="85" t="s">
        <v>84</v>
      </c>
    </row>
    <row r="40" spans="1:3" ht="18" customHeight="1" x14ac:dyDescent="0.25">
      <c r="A40" s="83"/>
      <c r="B40" s="95"/>
      <c r="C40" s="96"/>
    </row>
    <row r="41" spans="1:3" ht="97.5" customHeight="1" x14ac:dyDescent="0.25">
      <c r="A41" s="87" t="s">
        <v>82</v>
      </c>
      <c r="B41" s="90">
        <f>IF(ISTEXT(B37), "Error:  Available disk space on each Worker Node of " &amp; B8 &amp; " GB minus disk overhead of " &amp; B35 &amp; " GB per Worker Node is insufficient to store all data in the cluster for the Retention Period.", IF(B37*B39 &gt;=  B34,B37*B39,"Error:  Available disk space on each Worker Node of " &amp; B8 &amp; " GB minus disk overhead of " &amp; B35 &amp; " GB is insufficient to hold all data in the cluster for the Retention Period.  Available disk space is " &amp; B37*B39 &amp; " GB." &amp; "  A minimum of " &amp; ROUNDUP(B34,0) &amp; " GB of free disk space across the entire cluster is needed"))</f>
        <v>15340</v>
      </c>
      <c r="C41" s="85" t="s">
        <v>83</v>
      </c>
    </row>
    <row r="42" spans="1:3" x14ac:dyDescent="0.25">
      <c r="A42" s="87"/>
      <c r="B42" s="88"/>
      <c r="C42" s="85"/>
    </row>
    <row r="43" spans="1:3" ht="150" x14ac:dyDescent="0.25">
      <c r="A43" s="87" t="s">
        <v>80</v>
      </c>
      <c r="B43" s="97">
        <f>IF(ISTEXT(B39),"Error:  Correct errors indicated in previous cells",IF(B29&gt;0,IF(B29/(B18*0.001*86400)&lt;6,6,B29/(B18*0.001*86400)),"No CEF partitions are required"))</f>
        <v>10.95949074074074</v>
      </c>
      <c r="C43" s="86" t="s">
        <v>79</v>
      </c>
    </row>
    <row r="44" spans="1:3" x14ac:dyDescent="0.25">
      <c r="A44" s="87"/>
      <c r="B44" s="97"/>
      <c r="C44" s="86"/>
    </row>
    <row r="45" spans="1:3" ht="165" x14ac:dyDescent="0.25">
      <c r="A45" s="87" t="s">
        <v>94</v>
      </c>
      <c r="B45" s="90">
        <f>IF(ISTEXT(B39),"Error:  Correct errors indicated in previous cells",IF(B29&gt;0,IF(ROUNDUP(B29/(B39*B43),0)&gt;B7,"Error:  Available disk space on each Worker Node of " &amp; B7 &amp; " GB is insufficient to store a single day's EPS rates based on the Retention Period.  A minimum of " &amp; ROUNDUP(B29/(B39*B43),0) &amp; " GB is needed.",ROUNDUP(B29/(B43*B26),0)),"No CEF partitions are required"))</f>
        <v>432</v>
      </c>
      <c r="C45" s="98" t="s">
        <v>142</v>
      </c>
    </row>
    <row r="46" spans="1:3" x14ac:dyDescent="0.25">
      <c r="A46" s="87"/>
      <c r="B46" s="99"/>
      <c r="C46" s="96"/>
    </row>
    <row r="47" spans="1:3" ht="152.25" customHeight="1" x14ac:dyDescent="0.25">
      <c r="A47" s="87" t="s">
        <v>95</v>
      </c>
      <c r="B47" s="97">
        <f>IF(ISTEXT(B39),"Error:  Correct errors indicated in previous cells",IF(B29&gt;0,IF(ISTEXT(B45), "Error:  Available disk space on each Worker Node of " &amp; B8 &amp; " GB is insufficient to store a single day's  EPS rates based on the Retention Period.  A minimum of " &amp; ROUNDUP(B29/(B43*B26),0) &amp; " GB is needed.", B45*1024*1024*1024),"No CEF partitions are required"))</f>
        <v>463856467968</v>
      </c>
      <c r="C47" s="85" t="s">
        <v>140</v>
      </c>
    </row>
    <row r="48" spans="1:3" x14ac:dyDescent="0.25">
      <c r="A48" s="87"/>
      <c r="B48" s="88"/>
      <c r="C48" s="85"/>
    </row>
    <row r="49" spans="1:23" ht="150" x14ac:dyDescent="0.25">
      <c r="A49" s="87" t="s">
        <v>90</v>
      </c>
      <c r="B49" s="97" t="str">
        <f>IF(ISTEXT(B39),"Error:  Correct errors indicated in previous cells",IF(B30&gt;0,IF(B30/(B18*0.001*86400)&lt;6,6,B30/(B18*0.001*86400)),"No Avro partitions are required"))</f>
        <v>No Avro partitions are required</v>
      </c>
      <c r="C49" s="86" t="s">
        <v>91</v>
      </c>
    </row>
    <row r="50" spans="1:23" x14ac:dyDescent="0.25">
      <c r="A50" s="87"/>
      <c r="B50" s="99"/>
      <c r="C50" s="96"/>
    </row>
    <row r="51" spans="1:23" ht="165" x14ac:dyDescent="0.25">
      <c r="A51" s="87" t="s">
        <v>96</v>
      </c>
      <c r="B51" s="90" t="str">
        <f>IF(ISTEXT(B39),"Error:  Correct errors indicated in previous cells",IF(B30&gt;0,IF(ROUNDUP(B30/(B39*B49),0)&gt;B8,"Error:  Available disk space on each Worker Node of " &amp; B8 &amp; " GB is insufficient to store a single day's EPS rates based on the Retention Period.  A minimum of " &amp; ROUNDUP(B30/(B39*B49),0) &amp; " GB is needed.",ROUNDUP(B30/(B49*B26),0)),"No Avro partitions are required"))</f>
        <v>No Avro partitions are required</v>
      </c>
      <c r="C51" s="98" t="s">
        <v>143</v>
      </c>
    </row>
    <row r="52" spans="1:23" x14ac:dyDescent="0.25">
      <c r="A52" s="87"/>
      <c r="B52" s="99"/>
      <c r="C52" s="96"/>
    </row>
    <row r="53" spans="1:23" ht="152.25" customHeight="1" x14ac:dyDescent="0.25">
      <c r="A53" s="87" t="s">
        <v>97</v>
      </c>
      <c r="B53" s="97" t="str">
        <f>IF(ISTEXT(B39),"Error:  Correct errors indicated in previous cells",IF(B30&gt;0,IF(ISTEXT(B51),"Error:  Available disk space on each Worker Node of " &amp; B8 &amp; " GB is insufficient to store a single day's  EPS rates based on the Retention Period.  A minimum of " &amp; ROUNDUP(B30/(B39*B49),0) &amp; " GB is needed.", B51*1024*1024*1024),"No Avro partitions are required"))</f>
        <v>No Avro partitions are required</v>
      </c>
      <c r="C53" s="85" t="s">
        <v>141</v>
      </c>
    </row>
    <row r="54" spans="1:23" x14ac:dyDescent="0.25">
      <c r="A54" s="100"/>
      <c r="B54" s="99"/>
      <c r="C54" s="101"/>
      <c r="D54"/>
      <c r="E54"/>
      <c r="F54"/>
      <c r="G54"/>
      <c r="H54"/>
      <c r="I54"/>
      <c r="J54"/>
      <c r="K54"/>
      <c r="L54"/>
      <c r="M54"/>
      <c r="N54"/>
      <c r="O54"/>
      <c r="P54"/>
      <c r="Q54"/>
      <c r="R54"/>
      <c r="S54"/>
      <c r="T54"/>
      <c r="U54"/>
      <c r="V54"/>
      <c r="W54"/>
    </row>
    <row r="55" spans="1:23" ht="150" x14ac:dyDescent="0.25">
      <c r="A55" s="100" t="s">
        <v>77</v>
      </c>
      <c r="B55" s="97">
        <f>IF(ISTEXT(B39),"Error:  Correct errors indicated in previous cells",IF(B31&gt;0,IF(B31/(B18*0.001*86400)&lt;6,6,B31/(B18*0.001*86400)),"No ESM partitions are required"))</f>
        <v>6</v>
      </c>
      <c r="C55" s="86" t="s">
        <v>138</v>
      </c>
      <c r="D55"/>
      <c r="E55"/>
      <c r="F55"/>
      <c r="G55"/>
      <c r="H55"/>
      <c r="I55"/>
      <c r="J55"/>
      <c r="K55"/>
      <c r="L55"/>
      <c r="M55"/>
      <c r="N55"/>
      <c r="O55"/>
      <c r="P55"/>
      <c r="Q55"/>
      <c r="R55"/>
      <c r="S55"/>
      <c r="T55"/>
      <c r="U55"/>
      <c r="V55"/>
      <c r="W55"/>
    </row>
    <row r="56" spans="1:23" s="45" customFormat="1" ht="15.75" x14ac:dyDescent="0.25">
      <c r="A56" s="102"/>
      <c r="B56" s="103"/>
      <c r="C56" s="104"/>
      <c r="D56" s="44"/>
      <c r="E56" s="44"/>
      <c r="F56" s="44"/>
      <c r="G56" s="44"/>
      <c r="H56" s="44"/>
      <c r="I56" s="44"/>
      <c r="J56" s="44"/>
      <c r="K56" s="44"/>
      <c r="L56" s="44"/>
      <c r="M56" s="44"/>
      <c r="N56" s="44"/>
      <c r="O56" s="44"/>
      <c r="P56" s="44"/>
      <c r="Q56" s="44"/>
      <c r="R56" s="44"/>
      <c r="S56" s="44"/>
      <c r="T56" s="44"/>
      <c r="U56" s="44"/>
      <c r="V56" s="44"/>
      <c r="W56" s="44"/>
    </row>
    <row r="57" spans="1:23" ht="165" x14ac:dyDescent="0.25">
      <c r="A57" s="87" t="s">
        <v>98</v>
      </c>
      <c r="B57" s="90">
        <f>IF(ISTEXT(B39),"Error:  Correct errors indicated in previous cells",IF(B31&gt;0,IF(B31&gt;0,IF(B55&gt;0,IF(ROUNDUP(B31/(B39*B55),0)&gt;B8,"Error:  Available disk space on each Worker Node of " &amp; B8 &amp; " GB is insufficient to store a single day's EPS rates based on the Retention Period.  A minimum of " &amp; ROUNDUP(B31/(B39*B55),0) &amp; " GB is needed.",ROUNDUP(B31/(B55*B26),0)),0),"Error:  Total calculated disk storage required is zero bytes"),"No ESM partitions are required"))</f>
        <v>358</v>
      </c>
      <c r="C57" s="98" t="s">
        <v>144</v>
      </c>
    </row>
    <row r="58" spans="1:23" x14ac:dyDescent="0.25">
      <c r="A58" s="87"/>
      <c r="B58" s="99"/>
      <c r="C58" s="96"/>
    </row>
    <row r="59" spans="1:23" ht="152.25" customHeight="1" x14ac:dyDescent="0.25">
      <c r="A59" s="87" t="s">
        <v>99</v>
      </c>
      <c r="B59" s="97">
        <f>IF(ISTEXT(B39),"Error:  Correct errors indicated in previous cells",IF(B31&gt;0,IF(B31&gt;0,IF(ISTEXT(B57), "Error:  Available disk space on each Worker Node of " &amp; B8 &amp; " GB is insufficient to store a single day's  EPS rates based on the Retention Period.  A minimum of " &amp; ROUNDUP(B31/(B39*B55),0) &amp; " GB is needed.", B57*1024*1024*1024),"Error:  Total calculated disk storage required is zero bytes"),"No ESM partitions are required"))</f>
        <v>384399572992</v>
      </c>
      <c r="C59" s="85" t="s">
        <v>145</v>
      </c>
    </row>
    <row r="60" spans="1:23" x14ac:dyDescent="0.25">
      <c r="A60" s="102"/>
      <c r="B60" s="103"/>
      <c r="C60" s="96"/>
    </row>
    <row r="61" spans="1:23" ht="45" x14ac:dyDescent="0.25">
      <c r="A61" s="100" t="s">
        <v>78</v>
      </c>
      <c r="B61" s="97" t="str">
        <f>IF(ISTEXT(B39),"Error:  Correct errors indicated in previous cells",IF(B32&gt;0,IF((B32)/(B18*0.001*86400)&lt;6,6,(B32)/(B18*0.001*86400)),"No CTH partitions are required"))</f>
        <v>No CTH partitions are required</v>
      </c>
      <c r="C61" s="86" t="s">
        <v>75</v>
      </c>
      <c r="D61"/>
      <c r="E61"/>
      <c r="F61"/>
      <c r="G61"/>
      <c r="H61"/>
      <c r="I61"/>
      <c r="J61"/>
      <c r="K61"/>
      <c r="L61"/>
      <c r="M61"/>
      <c r="N61"/>
      <c r="O61"/>
      <c r="P61"/>
      <c r="Q61"/>
      <c r="R61"/>
      <c r="S61"/>
      <c r="T61"/>
      <c r="U61"/>
      <c r="V61"/>
      <c r="W61"/>
    </row>
    <row r="62" spans="1:23" s="45" customFormat="1" ht="15.75" x14ac:dyDescent="0.25">
      <c r="A62" s="102"/>
      <c r="B62" s="103"/>
      <c r="C62" s="104"/>
      <c r="D62" s="44"/>
      <c r="E62" s="44"/>
      <c r="F62" s="44"/>
      <c r="G62" s="44"/>
      <c r="H62" s="44"/>
      <c r="I62" s="44"/>
      <c r="J62" s="44"/>
      <c r="K62" s="44"/>
      <c r="L62" s="44"/>
      <c r="M62" s="44"/>
      <c r="N62" s="44"/>
      <c r="O62" s="44"/>
      <c r="P62" s="44"/>
      <c r="Q62" s="44"/>
      <c r="R62" s="44"/>
      <c r="S62" s="44"/>
      <c r="T62" s="44"/>
      <c r="U62" s="44"/>
      <c r="V62" s="44"/>
      <c r="W62" s="44"/>
    </row>
    <row r="63" spans="1:23" ht="165" x14ac:dyDescent="0.25">
      <c r="A63" s="87" t="s">
        <v>100</v>
      </c>
      <c r="B63" s="90" t="str">
        <f>IF(ISTEXT(B39),"Error:  Correct errors indicated in previous cells",IF(B32&gt;0,IF(B32&gt;0,IF(B61&gt;0,IF(ROUNDUP(B32/(B39*B61),0)&gt;B8,"Error:  Available disk space on each Worker Node of " &amp; B8 &amp; " GB is insufficient to store a single day's EPS rates based on the Retention Period.  A minimum of " &amp; ROUNDUP(B32/(B39*B61),0) &amp; " GB is needed.",ROUNDUP(B32/(B61*B26),0)),0),"Error:  Total calculated disk storage required is zero bytes"),"No CTH partitions are required"))</f>
        <v>No CTH partitions are required</v>
      </c>
      <c r="C63" s="98" t="s">
        <v>146</v>
      </c>
    </row>
    <row r="64" spans="1:23" x14ac:dyDescent="0.25">
      <c r="A64" s="87"/>
      <c r="B64" s="99"/>
      <c r="C64" s="96"/>
    </row>
    <row r="65" spans="1:3" ht="152.25" customHeight="1" x14ac:dyDescent="0.25">
      <c r="A65" s="87" t="s">
        <v>101</v>
      </c>
      <c r="B65" s="97" t="str">
        <f>IF(ISTEXT(B39),"Error:  Correct errors indicated in previous cells",IF(B32&gt;0,IF(B32&gt;0,IF(ISTEXT(B63), "Error:  Available disk space on each Worker Node of " &amp; B8 &amp; " GB is insufficient to store a single day's  EPS rates based on the Retention Period.  A minimum of " &amp; ROUNDUP(B32/(B39*B61),0) &amp; " GB is needed.", B63*1024*1024*1024),"Error:  Total calculated disk storage required is zero bytes"),"No CTH partitions are required"))</f>
        <v>No CTH partitions are required</v>
      </c>
      <c r="C65" s="85" t="s">
        <v>147</v>
      </c>
    </row>
  </sheetData>
  <sheetProtection selectLockedCells="1"/>
  <conditionalFormatting sqref="B35:B36">
    <cfRule type="containsText" dxfId="35" priority="9" operator="containsText" text="Error:">
      <formula>NOT(ISERROR(SEARCH("Error:",B35)))</formula>
    </cfRule>
  </conditionalFormatting>
  <conditionalFormatting sqref="B47">
    <cfRule type="containsText" dxfId="34" priority="8" operator="containsText" text="Not calculated">
      <formula>NOT(ISERROR(SEARCH("Not calculated",B47)))</formula>
    </cfRule>
  </conditionalFormatting>
  <conditionalFormatting sqref="B37">
    <cfRule type="cellIs" dxfId="33" priority="6" operator="equal">
      <formula>"Available Disk Space on Each Worker Node is Insufficient"</formula>
    </cfRule>
    <cfRule type="cellIs" dxfId="32" priority="7" operator="lessThanOrEqual">
      <formula>0</formula>
    </cfRule>
  </conditionalFormatting>
  <conditionalFormatting sqref="B40">
    <cfRule type="cellIs" dxfId="31" priority="5" operator="equal">
      <formula>"Available Disk Space on Each Worker Node is Insufficient"</formula>
    </cfRule>
  </conditionalFormatting>
  <conditionalFormatting sqref="B59">
    <cfRule type="containsText" dxfId="30" priority="4" operator="containsText" text="Not calculated">
      <formula>NOT(ISERROR(SEARCH("Not calculated",B59)))</formula>
    </cfRule>
  </conditionalFormatting>
  <conditionalFormatting sqref="B65">
    <cfRule type="containsText" dxfId="29" priority="3" operator="containsText" text="Not calculated">
      <formula>NOT(ISERROR(SEARCH("Not calculated",B65)))</formula>
    </cfRule>
  </conditionalFormatting>
  <conditionalFormatting sqref="B53">
    <cfRule type="containsText" dxfId="28" priority="2" operator="containsText" text="Not calculated">
      <formula>NOT(ISERROR(SEARCH("Not calculated",B53)))</formula>
    </cfRule>
  </conditionalFormatting>
  <conditionalFormatting sqref="B10">
    <cfRule type="containsText" dxfId="27" priority="1" operator="containsText" text="Error:">
      <formula>NOT(ISERROR(SEARCH("Error:",B10)))</formula>
    </cfRule>
  </conditionalFormatting>
  <dataValidations count="10">
    <dataValidation type="whole" operator="greaterThanOrEqual" allowBlank="1" showInputMessage="1" showErrorMessage="1" errorTitle="Minimum value of 50 GB" error="The minimum value is 50." sqref="B11">
      <formula1>50</formula1>
    </dataValidation>
    <dataValidation type="whole" operator="greaterThanOrEqual" allowBlank="1" showInputMessage="1" showErrorMessage="1" errorTitle="Minimum value of zero" error="Additional Worker Nodes must be numeric and set to zero or more" sqref="B12">
      <formula1>0</formula1>
    </dataValidation>
    <dataValidation type="whole" operator="greaterThanOrEqual" allowBlank="1" showInputMessage="1" showErrorMessage="1" errorTitle="Minimum of 1 Replica Required" error="A minimum of 1 Topic replica is required" sqref="B26">
      <formula1>1</formula1>
    </dataValidation>
    <dataValidation type="whole" operator="greaterThanOrEqual" allowBlank="1" showInputMessage="1" showErrorMessage="1" errorTitle="Minimum of 1:1 compression" error="A minimum compression ratio of 1:1 is required" sqref="B25">
      <formula1>1</formula1>
    </dataValidation>
    <dataValidation type="whole" operator="greaterThanOrEqual" allowBlank="1" showInputMessage="1" showErrorMessage="1" errorTitle="Minimum of 1 hour required" error="Kafka log retention must be set to 1 hour or more" sqref="B23">
      <formula1>1</formula1>
    </dataValidation>
    <dataValidation type="whole" operator="greaterThanOrEqual" allowBlank="1" showInputMessage="1" showErrorMessage="1" errorTitle="EPS rate must be zero or more" error="EPS rate must be numeric and set to zero or more" sqref="B19:B21">
      <formula1>0</formula1>
    </dataValidation>
    <dataValidation type="whole" operator="greaterThanOrEqual" allowBlank="1" showInputMessage="1" showErrorMessage="1" errorTitle="Minimum of 1 MB/sec required" error="A minimum value of 1 MB/sec is required" sqref="B18">
      <formula1>1</formula1>
    </dataValidation>
    <dataValidation type="whole" operator="greaterThanOrEqual" allowBlank="1" showInputMessage="1" showErrorMessage="1" errorTitle="Event size must be zero or more" error="Average event size must be numeric and zero or more " sqref="B14:B16">
      <formula1>0</formula1>
    </dataValidation>
    <dataValidation type="whole" operator="greaterThanOrEqual" allowBlank="1" showInputMessage="1" showErrorMessage="1" errorTitle="Minimum value of 50 GB" error="Disk capacity must be numeric and set to 50 GB or more." sqref="B8:B9">
      <formula1>50</formula1>
    </dataValidation>
    <dataValidation type="decimal" operator="greaterThanOrEqual" allowBlank="1" showInputMessage="1" showErrorMessage="1" errorTitle="Topics must be 0 or more" error="The number of Topics to model must be numeric and set to zero or more" sqref="B3:B6">
      <formula1>0</formula1>
    </dataValidation>
  </dataValidations>
  <pageMargins left="0.7" right="0.7" top="0.75" bottom="0.75" header="0.3" footer="0.3"/>
  <pageSetup orientation="portrait" r:id="rId1"/>
  <ignoredErrors>
    <ignoredError sqref="B22"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4"/>
  <sheetViews>
    <sheetView workbookViewId="0">
      <selection activeCell="B3" sqref="B3"/>
    </sheetView>
  </sheetViews>
  <sheetFormatPr defaultRowHeight="15" x14ac:dyDescent="0.25"/>
  <cols>
    <col min="1" max="1" width="45.7109375" style="39" customWidth="1"/>
    <col min="2" max="2" width="32.28515625" style="46" customWidth="1"/>
    <col min="3" max="3" width="92" style="39" customWidth="1"/>
    <col min="4" max="23" width="9.140625" style="37"/>
  </cols>
  <sheetData>
    <row r="1" spans="1:23" s="2" customFormat="1" ht="21" x14ac:dyDescent="0.25">
      <c r="A1" s="32"/>
      <c r="B1" s="49" t="s">
        <v>124</v>
      </c>
      <c r="C1" s="33"/>
      <c r="D1" s="34"/>
      <c r="E1" s="34"/>
      <c r="F1" s="34"/>
      <c r="G1" s="34"/>
      <c r="H1" s="34"/>
      <c r="I1" s="34"/>
      <c r="J1" s="34"/>
      <c r="K1" s="34"/>
      <c r="L1" s="34"/>
      <c r="M1" s="34"/>
      <c r="N1" s="34"/>
      <c r="O1" s="34"/>
      <c r="P1" s="34"/>
      <c r="Q1" s="34"/>
      <c r="R1" s="34"/>
      <c r="S1" s="34"/>
      <c r="T1" s="34"/>
      <c r="U1" s="34"/>
      <c r="V1" s="34"/>
      <c r="W1" s="34"/>
    </row>
    <row r="2" spans="1:23" ht="37.5" x14ac:dyDescent="0.25">
      <c r="A2" s="35" t="s">
        <v>36</v>
      </c>
      <c r="B2" s="48"/>
      <c r="C2" s="36"/>
    </row>
    <row r="3" spans="1:23" ht="60" x14ac:dyDescent="0.25">
      <c r="A3" s="53" t="s">
        <v>61</v>
      </c>
      <c r="B3" s="71">
        <v>1</v>
      </c>
      <c r="C3" s="38" t="s">
        <v>31</v>
      </c>
    </row>
    <row r="4" spans="1:23" ht="60" x14ac:dyDescent="0.25">
      <c r="A4" s="53" t="s">
        <v>64</v>
      </c>
      <c r="B4" s="71">
        <v>0</v>
      </c>
      <c r="C4" s="38" t="s">
        <v>41</v>
      </c>
    </row>
    <row r="5" spans="1:23" ht="60" x14ac:dyDescent="0.25">
      <c r="A5" s="53" t="s">
        <v>62</v>
      </c>
      <c r="B5" s="71">
        <v>1</v>
      </c>
      <c r="C5" s="38" t="s">
        <v>32</v>
      </c>
    </row>
    <row r="6" spans="1:23" ht="60" x14ac:dyDescent="0.25">
      <c r="A6" s="53" t="s">
        <v>63</v>
      </c>
      <c r="B6" s="71">
        <v>0</v>
      </c>
      <c r="C6" s="38" t="s">
        <v>33</v>
      </c>
    </row>
    <row r="7" spans="1:23" ht="52.5" customHeight="1" x14ac:dyDescent="0.25">
      <c r="A7" s="53"/>
      <c r="B7" s="75" t="str">
        <f>IF(SUM(B3:B6) = 0, "Error:  No topics were selected above to be modeled.  Please enter one or more topics to be modeled", "")</f>
        <v/>
      </c>
      <c r="C7" s="38"/>
    </row>
    <row r="8" spans="1:23" ht="165" x14ac:dyDescent="0.25">
      <c r="A8" s="53" t="s">
        <v>104</v>
      </c>
      <c r="B8" s="76">
        <v>4</v>
      </c>
      <c r="C8" s="38" t="s">
        <v>105</v>
      </c>
    </row>
    <row r="9" spans="1:23" x14ac:dyDescent="0.25">
      <c r="A9" s="53"/>
      <c r="B9" s="76"/>
      <c r="C9" s="38"/>
    </row>
    <row r="10" spans="1:23" ht="90" x14ac:dyDescent="0.25">
      <c r="A10" s="53" t="s">
        <v>136</v>
      </c>
      <c r="B10" s="76">
        <f>37</f>
        <v>37</v>
      </c>
      <c r="C10" s="38" t="s">
        <v>135</v>
      </c>
    </row>
    <row r="11" spans="1:23" x14ac:dyDescent="0.25">
      <c r="A11" s="52"/>
      <c r="B11" s="78"/>
      <c r="C11" s="38"/>
    </row>
    <row r="12" spans="1:23" x14ac:dyDescent="0.25">
      <c r="A12" s="53" t="s">
        <v>65</v>
      </c>
      <c r="B12" s="71">
        <v>1765</v>
      </c>
      <c r="C12" s="38" t="s">
        <v>43</v>
      </c>
    </row>
    <row r="13" spans="1:23" x14ac:dyDescent="0.25">
      <c r="A13" s="53" t="s">
        <v>50</v>
      </c>
      <c r="B13" s="71">
        <v>2000</v>
      </c>
      <c r="C13" s="38" t="s">
        <v>42</v>
      </c>
    </row>
    <row r="14" spans="1:23" x14ac:dyDescent="0.25">
      <c r="A14" s="53" t="s">
        <v>66</v>
      </c>
      <c r="B14" s="71">
        <v>700</v>
      </c>
      <c r="C14" s="38" t="s">
        <v>39</v>
      </c>
    </row>
    <row r="15" spans="1:23" x14ac:dyDescent="0.25">
      <c r="A15" s="53"/>
      <c r="B15" s="71"/>
      <c r="C15" s="38"/>
    </row>
    <row r="16" spans="1:23" ht="75" x14ac:dyDescent="0.25">
      <c r="A16" s="53" t="s">
        <v>89</v>
      </c>
      <c r="B16" s="71">
        <v>10</v>
      </c>
      <c r="C16" s="38" t="s">
        <v>88</v>
      </c>
    </row>
    <row r="17" spans="1:23" ht="30" x14ac:dyDescent="0.25">
      <c r="A17" s="53" t="s">
        <v>0</v>
      </c>
      <c r="B17" s="76">
        <v>50000</v>
      </c>
      <c r="C17" s="38" t="s">
        <v>92</v>
      </c>
    </row>
    <row r="18" spans="1:23" x14ac:dyDescent="0.25">
      <c r="A18" s="53" t="s">
        <v>1</v>
      </c>
      <c r="B18" s="76">
        <v>20000</v>
      </c>
      <c r="C18" s="38" t="s">
        <v>53</v>
      </c>
    </row>
    <row r="19" spans="1:23" x14ac:dyDescent="0.25">
      <c r="A19" s="53" t="s">
        <v>40</v>
      </c>
      <c r="B19" s="76">
        <v>0</v>
      </c>
      <c r="C19" s="38" t="s">
        <v>54</v>
      </c>
    </row>
    <row r="20" spans="1:23" ht="42.75" customHeight="1" x14ac:dyDescent="0.25">
      <c r="A20" s="53"/>
      <c r="B20" s="79" t="str">
        <f>IF(SUM(B17:B19) = 0,"Error:  No EPS rates were selected above to be modeled.  Please enter EPS rates to be modeled", "")</f>
        <v/>
      </c>
      <c r="C20" s="38"/>
    </row>
    <row r="21" spans="1:23" ht="60" x14ac:dyDescent="0.25">
      <c r="A21" s="53" t="s">
        <v>67</v>
      </c>
      <c r="B21" s="71">
        <v>48</v>
      </c>
      <c r="C21" s="38" t="s">
        <v>60</v>
      </c>
    </row>
    <row r="22" spans="1:23" x14ac:dyDescent="0.25">
      <c r="A22" s="53"/>
      <c r="B22" s="71"/>
      <c r="C22" s="38"/>
    </row>
    <row r="23" spans="1:23" ht="30" x14ac:dyDescent="0.25">
      <c r="A23" s="53" t="s">
        <v>37</v>
      </c>
      <c r="B23" s="71">
        <v>3</v>
      </c>
      <c r="C23" s="38" t="s">
        <v>45</v>
      </c>
    </row>
    <row r="24" spans="1:23" ht="30" x14ac:dyDescent="0.25">
      <c r="A24" s="53" t="s">
        <v>68</v>
      </c>
      <c r="B24" s="71">
        <v>2</v>
      </c>
      <c r="C24" s="38" t="s">
        <v>93</v>
      </c>
    </row>
    <row r="25" spans="1:23" x14ac:dyDescent="0.25">
      <c r="A25" s="52"/>
      <c r="B25" s="78"/>
      <c r="C25" s="38"/>
    </row>
    <row r="26" spans="1:23" s="1" customFormat="1" ht="21.75" customHeight="1" x14ac:dyDescent="0.25">
      <c r="A26" s="35" t="s">
        <v>7</v>
      </c>
      <c r="B26" s="50"/>
      <c r="C26" s="40"/>
      <c r="D26" s="41"/>
      <c r="E26" s="41"/>
      <c r="F26" s="41"/>
      <c r="G26" s="41"/>
      <c r="H26" s="41"/>
      <c r="I26" s="41"/>
      <c r="J26" s="41"/>
      <c r="K26" s="41"/>
      <c r="L26" s="41"/>
      <c r="M26" s="41"/>
      <c r="N26" s="41"/>
      <c r="O26" s="41"/>
      <c r="P26" s="41"/>
      <c r="Q26" s="41"/>
      <c r="R26" s="41"/>
      <c r="S26" s="41"/>
      <c r="T26" s="41"/>
      <c r="U26" s="41"/>
      <c r="V26" s="41"/>
      <c r="W26" s="41"/>
    </row>
    <row r="27" spans="1:23" ht="30" x14ac:dyDescent="0.25">
      <c r="A27" s="51" t="s">
        <v>69</v>
      </c>
      <c r="B27" s="59">
        <f>ROUNDUP( (((B3*B12*B17*(B21*60*60))/B23)/(1024*1024*1024))*B24,0)</f>
        <v>9469</v>
      </c>
      <c r="C27" s="38" t="s">
        <v>102</v>
      </c>
    </row>
    <row r="28" spans="1:23" ht="75" x14ac:dyDescent="0.25">
      <c r="A28" s="51" t="s">
        <v>72</v>
      </c>
      <c r="B28" s="59">
        <f>ROUNDUP(B4*B27,0)</f>
        <v>0</v>
      </c>
      <c r="C28" s="14" t="s">
        <v>134</v>
      </c>
    </row>
    <row r="29" spans="1:23" ht="30" x14ac:dyDescent="0.25">
      <c r="A29" s="51" t="s">
        <v>70</v>
      </c>
      <c r="B29" s="59">
        <f>ROUNDUP((((B5*B13*B18*(B21*60*60))/B23)/(1024*1024*1024))*B24,0)</f>
        <v>4292</v>
      </c>
      <c r="C29" s="38" t="s">
        <v>102</v>
      </c>
    </row>
    <row r="30" spans="1:23" ht="60" x14ac:dyDescent="0.25">
      <c r="A30" s="51" t="s">
        <v>71</v>
      </c>
      <c r="B30" s="59">
        <f xml:space="preserve"> ROUNDUP((((B6*B14*B19*(B21*60*60))/B23)/(1024*1024*1024))*B24,0)</f>
        <v>0</v>
      </c>
      <c r="C30" s="38" t="s">
        <v>103</v>
      </c>
    </row>
    <row r="31" spans="1:23" x14ac:dyDescent="0.25">
      <c r="A31" s="54"/>
      <c r="B31" s="60"/>
      <c r="C31" s="38"/>
    </row>
    <row r="32" spans="1:23" ht="30" x14ac:dyDescent="0.25">
      <c r="A32" s="54" t="s">
        <v>56</v>
      </c>
      <c r="B32" s="60">
        <f xml:space="preserve"> ROUNDUP(SUM(B27:B30),0)</f>
        <v>13761</v>
      </c>
      <c r="C32" s="38" t="s">
        <v>81</v>
      </c>
    </row>
    <row r="33" spans="1:23" x14ac:dyDescent="0.25">
      <c r="A33" s="54"/>
      <c r="B33" s="60"/>
      <c r="C33" s="38"/>
    </row>
    <row r="34" spans="1:23" ht="150" x14ac:dyDescent="0.25">
      <c r="A34" s="54" t="s">
        <v>80</v>
      </c>
      <c r="B34" s="64">
        <f>IF(B27&gt;0,IF(B27/(B16*0.001*86400)&lt;6,6,B27/(B16*0.001*86400)),"No CEF partitions are required")</f>
        <v>10.95949074074074</v>
      </c>
      <c r="C34" s="14" t="s">
        <v>79</v>
      </c>
    </row>
    <row r="35" spans="1:23" x14ac:dyDescent="0.25">
      <c r="A35" s="54"/>
      <c r="B35" s="64"/>
      <c r="C35" s="14"/>
    </row>
    <row r="36" spans="1:23" ht="165" x14ac:dyDescent="0.25">
      <c r="A36" s="54" t="s">
        <v>118</v>
      </c>
      <c r="B36" s="61">
        <f>IF(B27&gt;0,ROUNDUP(B27/(B34*B24),0),"No CEF partitions are required")</f>
        <v>432</v>
      </c>
      <c r="C36" s="98" t="s">
        <v>142</v>
      </c>
    </row>
    <row r="37" spans="1:23" x14ac:dyDescent="0.25">
      <c r="A37" s="54"/>
      <c r="B37" s="55"/>
      <c r="C37" s="96"/>
    </row>
    <row r="38" spans="1:23" ht="152.25" customHeight="1" x14ac:dyDescent="0.25">
      <c r="A38" s="54" t="s">
        <v>117</v>
      </c>
      <c r="B38" s="64">
        <f>IF(B27&gt;0,IF(ISTEXT(B36), "No CEF partitions are required", B36*1024*1024*1024),"No CEF partitions are required")</f>
        <v>463856467968</v>
      </c>
      <c r="C38" s="85" t="s">
        <v>140</v>
      </c>
    </row>
    <row r="39" spans="1:23" x14ac:dyDescent="0.25">
      <c r="A39" s="54"/>
      <c r="B39" s="60"/>
      <c r="C39" s="38"/>
    </row>
    <row r="40" spans="1:23" ht="150" x14ac:dyDescent="0.25">
      <c r="A40" s="54" t="s">
        <v>90</v>
      </c>
      <c r="B40" s="64" t="str">
        <f>IF(B28&gt;0,IF(B28/(B16*0.001*86400)&lt;6,6,B28/(B16*0.001*86400)),"No Avro partitions are required")</f>
        <v>No Avro partitions are required</v>
      </c>
      <c r="C40" s="14" t="s">
        <v>91</v>
      </c>
    </row>
    <row r="41" spans="1:23" x14ac:dyDescent="0.25">
      <c r="A41" s="54"/>
      <c r="B41" s="55"/>
    </row>
    <row r="42" spans="1:23" ht="165" x14ac:dyDescent="0.25">
      <c r="A42" s="54" t="s">
        <v>116</v>
      </c>
      <c r="B42" s="61" t="str">
        <f>IF(B28&gt;0,ROUNDUP(B28/(B40*B24),0),"No Avro partitions are required")</f>
        <v>No Avro partitions are required</v>
      </c>
      <c r="C42" s="98" t="s">
        <v>143</v>
      </c>
    </row>
    <row r="43" spans="1:23" x14ac:dyDescent="0.25">
      <c r="A43" s="54"/>
      <c r="B43" s="55"/>
      <c r="C43" s="96"/>
    </row>
    <row r="44" spans="1:23" ht="152.25" customHeight="1" x14ac:dyDescent="0.25">
      <c r="A44" s="54" t="s">
        <v>115</v>
      </c>
      <c r="B44" s="64" t="str">
        <f>IF(B28&gt;0,IF(ISTEXT(B42),"No Avro partitions are required", B42*1024*1024*1024),"No Avro partitions are required")</f>
        <v>No Avro partitions are required</v>
      </c>
      <c r="C44" s="85" t="s">
        <v>141</v>
      </c>
    </row>
    <row r="45" spans="1:23" x14ac:dyDescent="0.25">
      <c r="A45" s="56"/>
      <c r="B45" s="55"/>
      <c r="C45" s="28"/>
      <c r="D45"/>
      <c r="E45"/>
      <c r="F45"/>
      <c r="G45"/>
      <c r="H45"/>
      <c r="I45"/>
      <c r="J45"/>
      <c r="K45"/>
      <c r="L45"/>
      <c r="M45"/>
      <c r="N45"/>
      <c r="O45"/>
      <c r="P45"/>
      <c r="Q45"/>
      <c r="R45"/>
      <c r="S45"/>
      <c r="T45"/>
      <c r="U45"/>
      <c r="V45"/>
      <c r="W45"/>
    </row>
    <row r="46" spans="1:23" ht="150" x14ac:dyDescent="0.25">
      <c r="A46" s="56" t="s">
        <v>77</v>
      </c>
      <c r="B46" s="97">
        <f>IF(B29&gt;0,IF(B29/(B16*0.001*86400)&lt;6,6,B29/(B16*0.001*86400)),"No ESM partitions are required")</f>
        <v>6</v>
      </c>
      <c r="C46" s="86" t="s">
        <v>138</v>
      </c>
      <c r="D46"/>
      <c r="E46"/>
      <c r="F46"/>
      <c r="G46"/>
      <c r="H46"/>
      <c r="I46"/>
      <c r="J46"/>
      <c r="K46"/>
      <c r="L46"/>
      <c r="M46"/>
      <c r="N46"/>
      <c r="O46"/>
      <c r="P46"/>
      <c r="Q46"/>
      <c r="R46"/>
      <c r="S46"/>
      <c r="T46"/>
      <c r="U46"/>
      <c r="V46"/>
      <c r="W46"/>
    </row>
    <row r="47" spans="1:23" s="45" customFormat="1" ht="15.75" x14ac:dyDescent="0.25">
      <c r="A47" s="57"/>
      <c r="B47" s="58"/>
      <c r="C47" s="43"/>
      <c r="D47" s="44"/>
      <c r="E47" s="44"/>
      <c r="F47" s="44"/>
      <c r="G47" s="44"/>
      <c r="H47" s="44"/>
      <c r="I47" s="44"/>
      <c r="J47" s="44"/>
      <c r="K47" s="44"/>
      <c r="L47" s="44"/>
      <c r="M47" s="44"/>
      <c r="N47" s="44"/>
      <c r="O47" s="44"/>
      <c r="P47" s="44"/>
      <c r="Q47" s="44"/>
      <c r="R47" s="44"/>
      <c r="S47" s="44"/>
      <c r="T47" s="44"/>
      <c r="U47" s="44"/>
      <c r="V47" s="44"/>
      <c r="W47" s="44"/>
    </row>
    <row r="48" spans="1:23" ht="165" x14ac:dyDescent="0.25">
      <c r="A48" s="54" t="s">
        <v>114</v>
      </c>
      <c r="B48" s="61">
        <f>IF(B29&gt;0,ROUNDUP(B29/(B46*B24),0),"No ESM partitions are required")</f>
        <v>358</v>
      </c>
      <c r="C48" s="98" t="s">
        <v>144</v>
      </c>
    </row>
    <row r="49" spans="1:23" x14ac:dyDescent="0.25">
      <c r="A49" s="54"/>
      <c r="B49" s="55"/>
      <c r="C49" s="96"/>
    </row>
    <row r="50" spans="1:23" ht="152.25" customHeight="1" x14ac:dyDescent="0.25">
      <c r="A50" s="54" t="s">
        <v>113</v>
      </c>
      <c r="B50" s="64">
        <f>IF(B29&gt;0,IF(ISTEXT(B48),"No ESM partitions are required", B48*1024*1024*1024),"No ESM partitions are required")</f>
        <v>384399572992</v>
      </c>
      <c r="C50" s="85" t="s">
        <v>145</v>
      </c>
    </row>
    <row r="51" spans="1:23" x14ac:dyDescent="0.25">
      <c r="A51" s="57"/>
      <c r="B51" s="58"/>
    </row>
    <row r="52" spans="1:23" ht="45" x14ac:dyDescent="0.25">
      <c r="A52" s="56" t="s">
        <v>78</v>
      </c>
      <c r="B52" s="64" t="str">
        <f>IF(B30&gt;0,IF(B30/(B16*0.001*86400)&lt;6,6,B30/(B16*0.001*86400)),"No CTH partitions are required")</f>
        <v>No CTH partitions are required</v>
      </c>
      <c r="C52" s="14" t="s">
        <v>75</v>
      </c>
      <c r="D52"/>
      <c r="E52"/>
      <c r="F52"/>
      <c r="G52"/>
      <c r="H52"/>
      <c r="I52"/>
      <c r="J52"/>
      <c r="K52"/>
      <c r="L52"/>
      <c r="M52"/>
      <c r="N52"/>
      <c r="O52"/>
      <c r="P52"/>
      <c r="Q52"/>
      <c r="R52"/>
      <c r="S52"/>
      <c r="T52"/>
      <c r="U52"/>
      <c r="V52"/>
      <c r="W52"/>
    </row>
    <row r="53" spans="1:23" s="45" customFormat="1" ht="15.75" x14ac:dyDescent="0.25">
      <c r="A53" s="57"/>
      <c r="B53" s="58"/>
      <c r="C53" s="43"/>
      <c r="D53" s="44"/>
      <c r="E53" s="44"/>
      <c r="F53" s="44"/>
      <c r="G53" s="44"/>
      <c r="H53" s="44"/>
      <c r="I53" s="44"/>
      <c r="J53" s="44"/>
      <c r="K53" s="44"/>
      <c r="L53" s="44"/>
      <c r="M53" s="44"/>
      <c r="N53" s="44"/>
      <c r="O53" s="44"/>
      <c r="P53" s="44"/>
      <c r="Q53" s="44"/>
      <c r="R53" s="44"/>
      <c r="S53" s="44"/>
      <c r="T53" s="44"/>
      <c r="U53" s="44"/>
      <c r="V53" s="44"/>
      <c r="W53" s="44"/>
    </row>
    <row r="54" spans="1:23" ht="165" x14ac:dyDescent="0.25">
      <c r="A54" s="54" t="s">
        <v>112</v>
      </c>
      <c r="B54" s="61" t="str">
        <f>IF(B30&gt;0,ROUNDUP(B30/(B52*B24),0),"No CTH partitions are required")</f>
        <v>No CTH partitions are required</v>
      </c>
      <c r="C54" s="98" t="s">
        <v>146</v>
      </c>
    </row>
    <row r="55" spans="1:23" x14ac:dyDescent="0.25">
      <c r="A55" s="54"/>
      <c r="B55" s="55"/>
      <c r="C55" s="96"/>
    </row>
    <row r="56" spans="1:23" ht="152.25" customHeight="1" x14ac:dyDescent="0.25">
      <c r="A56" s="54" t="s">
        <v>111</v>
      </c>
      <c r="B56" s="64" t="str">
        <f>IF(B30&gt;0,IF(ISTEXT(B54),"No CTH partitions are required", B54*1024*1024*1024),"No CTH partitions are required")</f>
        <v>No CTH partitions are required</v>
      </c>
      <c r="C56" s="85" t="s">
        <v>147</v>
      </c>
    </row>
    <row r="57" spans="1:23" ht="48" customHeight="1" x14ac:dyDescent="0.25">
      <c r="B57" s="66" t="str">
        <f>IF(ISTEXT(B33),IF(ISTEXT(B39),IF(ISTEXT(B45),IF(ISTEXT(B51),"Error in input parameters, see messages above",""),""),""),"")</f>
        <v/>
      </c>
    </row>
    <row r="58" spans="1:23" ht="90" customHeight="1" x14ac:dyDescent="0.25">
      <c r="A58" s="65" t="s">
        <v>108</v>
      </c>
      <c r="B58" s="66">
        <f>IF(B57&lt;&gt;"","Error in input parameters, see messages above",IF(ROUNDUP(B32/B8,0)&lt;50,50,ROUNDUP((B32/B8),0)))</f>
        <v>3441</v>
      </c>
      <c r="C58" s="38" t="s">
        <v>120</v>
      </c>
    </row>
    <row r="59" spans="1:23" x14ac:dyDescent="0.25">
      <c r="A59" s="51"/>
      <c r="B59" s="66"/>
      <c r="C59" s="47"/>
    </row>
    <row r="60" spans="1:23" ht="180" x14ac:dyDescent="0.25">
      <c r="A60" s="65" t="s">
        <v>52</v>
      </c>
      <c r="B60" s="66">
        <f>IF(ISTEXT(B58),"Error in input parameters, see messages above",IF(B58&lt;667,B58*15%,100) + (ROUNDUP(B27*0.2%,0)) + (ROUNDUP(B29*0.2%,0)) + (ROUNDUP(B30*0.2%,0)) + (ROUNDUP(B28*0.2%,0)) + B10)</f>
        <v>165</v>
      </c>
      <c r="C60" s="38" t="s">
        <v>73</v>
      </c>
    </row>
    <row r="61" spans="1:23" x14ac:dyDescent="0.25">
      <c r="A61" s="51"/>
      <c r="B61" s="59"/>
      <c r="C61" s="47"/>
    </row>
    <row r="62" spans="1:23" ht="102.75" customHeight="1" x14ac:dyDescent="0.25">
      <c r="A62" s="68" t="s">
        <v>106</v>
      </c>
      <c r="B62" s="69">
        <f>IF(ISTEXT(B58),"Error in input parameters, see messages above",B58+B60)</f>
        <v>3606</v>
      </c>
      <c r="C62" s="38" t="s">
        <v>109</v>
      </c>
    </row>
    <row r="63" spans="1:23" x14ac:dyDescent="0.25">
      <c r="A63" s="51"/>
      <c r="B63" s="62"/>
      <c r="C63" s="42"/>
    </row>
    <row r="64" spans="1:23" ht="49.5" customHeight="1" x14ac:dyDescent="0.25">
      <c r="A64" s="54" t="s">
        <v>107</v>
      </c>
      <c r="B64" s="61">
        <f>IF(ISTEXT(B58),"Error in input parameters, see messages above",B8*B62)</f>
        <v>14424</v>
      </c>
      <c r="C64" s="38" t="s">
        <v>110</v>
      </c>
    </row>
  </sheetData>
  <sheetProtection sheet="1" objects="1" scenarios="1" selectLockedCells="1"/>
  <conditionalFormatting sqref="B60">
    <cfRule type="containsText" dxfId="26" priority="12" operator="containsText" text="Error:">
      <formula>NOT(ISERROR(SEARCH("Error:",B60)))</formula>
    </cfRule>
  </conditionalFormatting>
  <conditionalFormatting sqref="B38">
    <cfRule type="containsText" dxfId="25" priority="11" operator="containsText" text="Not calculated">
      <formula>NOT(ISERROR(SEARCH("Not calculated",B38)))</formula>
    </cfRule>
  </conditionalFormatting>
  <conditionalFormatting sqref="B62">
    <cfRule type="cellIs" dxfId="24" priority="9" operator="equal">
      <formula>"Available Disk Space on Each Worker Node is Insufficient"</formula>
    </cfRule>
    <cfRule type="cellIs" dxfId="23" priority="10" operator="lessThanOrEqual">
      <formula>0</formula>
    </cfRule>
  </conditionalFormatting>
  <conditionalFormatting sqref="B44">
    <cfRule type="containsText" dxfId="22" priority="5" operator="containsText" text="Not calculated">
      <formula>NOT(ISERROR(SEARCH("Not calculated",B44)))</formula>
    </cfRule>
  </conditionalFormatting>
  <conditionalFormatting sqref="B61">
    <cfRule type="containsText" dxfId="21" priority="4" operator="containsText" text="Error:">
      <formula>NOT(ISERROR(SEARCH("Error:",B61)))</formula>
    </cfRule>
  </conditionalFormatting>
  <conditionalFormatting sqref="B50">
    <cfRule type="containsText" dxfId="20" priority="3" operator="containsText" text="Not calculated">
      <formula>NOT(ISERROR(SEARCH("Not calculated",B50)))</formula>
    </cfRule>
  </conditionalFormatting>
  <conditionalFormatting sqref="B56">
    <cfRule type="containsText" dxfId="19" priority="2" operator="containsText" text="Not calculated">
      <formula>NOT(ISERROR(SEARCH("Not calculated",B56)))</formula>
    </cfRule>
  </conditionalFormatting>
  <dataValidations count="9">
    <dataValidation type="decimal" operator="greaterThanOrEqual" allowBlank="1" showInputMessage="1" showErrorMessage="1" errorTitle="Topics must be 0 or more" error="The number of Topics to model must be numeric and set to zero or more" sqref="B3:B6">
      <formula1>0</formula1>
    </dataValidation>
    <dataValidation type="whole" operator="greaterThanOrEqual" allowBlank="1" showInputMessage="1" showErrorMessage="1" errorTitle="Event size must be zero or more" error="Average event size must be numeric and zero or more " sqref="B12:B14">
      <formula1>0</formula1>
    </dataValidation>
    <dataValidation type="whole" operator="greaterThanOrEqual" allowBlank="1" showInputMessage="1" showErrorMessage="1" errorTitle="Minimum of 1 MB/sec required" error="A minimum value of 1 MB/sec is required" sqref="B16">
      <formula1>1</formula1>
    </dataValidation>
    <dataValidation type="whole" operator="greaterThanOrEqual" allowBlank="1" showInputMessage="1" showErrorMessage="1" errorTitle="EPS rate must be zero or more" error="EPS rate must be numeric and set to zero or more" sqref="B17:B19">
      <formula1>0</formula1>
    </dataValidation>
    <dataValidation type="whole" operator="greaterThanOrEqual" allowBlank="1" showInputMessage="1" showErrorMessage="1" errorTitle="Minimum of 1 hour required" error="Kafka log retention must be set to 1 hour or more" sqref="B21">
      <formula1>1</formula1>
    </dataValidation>
    <dataValidation type="whole" operator="greaterThanOrEqual" allowBlank="1" showInputMessage="1" showErrorMessage="1" errorTitle="Minimum of 1:1 compression" error="A minimum compression ratio of 1:1 is required" sqref="B23">
      <formula1>1</formula1>
    </dataValidation>
    <dataValidation type="whole" operator="greaterThanOrEqual" allowBlank="1" showInputMessage="1" showErrorMessage="1" errorTitle="Minimum of 1 Replica Required" error="A minimum of 1 Topic replica is required" sqref="B24">
      <formula1>1</formula1>
    </dataValidation>
    <dataValidation type="decimal" operator="greaterThanOrEqual" allowBlank="1" showInputMessage="1" showErrorMessage="1" errorTitle="Minimum  of 1 Worker Node" error="Worker Nodes must be numeric and set to 1 or more" sqref="B8">
      <formula1>1</formula1>
    </dataValidation>
    <dataValidation type="whole" operator="greaterThanOrEqual" allowBlank="1" showInputMessage="1" showErrorMessage="1" errorTitle="Minimum value of 50 GB" error="Disk capacity must be numeric and set to 50 GB or more." sqref="B9">
      <formula1>50</formula1>
    </dataValidation>
  </dataValidations>
  <pageMargins left="0.7" right="0.7" top="0.75" bottom="0.75" header="0.3" footer="0.3"/>
  <pageSetup orientation="portrait" r:id="rId1"/>
  <ignoredErrors>
    <ignoredError sqref="B20" formulaRange="1"/>
  </ignoredErrors>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Error:" id="{02BBFAF4-08AB-43D9-AA8E-1FE3AFC60952}">
            <xm:f>NOT(ISERROR(SEARCH("Error:",'TH - Known Disk Size'!B10)))</xm:f>
            <x14:dxf>
              <font>
                <color rgb="FFFF0000"/>
              </font>
            </x14:dxf>
          </x14:cfRule>
          <xm:sqref>B10</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4"/>
  <sheetViews>
    <sheetView workbookViewId="0">
      <selection activeCell="B3" sqref="B3"/>
    </sheetView>
  </sheetViews>
  <sheetFormatPr defaultRowHeight="15" x14ac:dyDescent="0.25"/>
  <cols>
    <col min="1" max="1" width="45.7109375" style="39" customWidth="1"/>
    <col min="2" max="2" width="32.28515625" style="46" customWidth="1"/>
    <col min="3" max="3" width="92" style="39" customWidth="1"/>
    <col min="4" max="23" width="9.140625" style="37"/>
  </cols>
  <sheetData>
    <row r="1" spans="1:23" s="2" customFormat="1" ht="21" x14ac:dyDescent="0.25">
      <c r="A1" s="32"/>
      <c r="B1" s="49" t="s">
        <v>123</v>
      </c>
      <c r="C1" s="33"/>
      <c r="D1" s="34"/>
      <c r="E1" s="34"/>
      <c r="F1" s="34"/>
      <c r="G1" s="34"/>
      <c r="H1" s="34"/>
      <c r="I1" s="34"/>
      <c r="J1" s="34"/>
      <c r="K1" s="34"/>
      <c r="L1" s="34"/>
      <c r="M1" s="34"/>
      <c r="N1" s="34"/>
      <c r="O1" s="34"/>
      <c r="P1" s="34"/>
      <c r="Q1" s="34"/>
      <c r="R1" s="34"/>
      <c r="S1" s="34"/>
      <c r="T1" s="34"/>
      <c r="U1" s="34"/>
      <c r="V1" s="34"/>
      <c r="W1" s="34"/>
    </row>
    <row r="2" spans="1:23" ht="37.5" x14ac:dyDescent="0.25">
      <c r="A2" s="35" t="s">
        <v>132</v>
      </c>
      <c r="B2" s="48"/>
      <c r="C2" s="36"/>
    </row>
    <row r="3" spans="1:23" ht="90" x14ac:dyDescent="0.25">
      <c r="A3" s="53" t="s">
        <v>61</v>
      </c>
      <c r="B3" s="71">
        <v>1</v>
      </c>
      <c r="C3" s="38" t="s">
        <v>86</v>
      </c>
    </row>
    <row r="4" spans="1:23" ht="90" x14ac:dyDescent="0.25">
      <c r="A4" s="53" t="s">
        <v>133</v>
      </c>
      <c r="B4" s="71">
        <v>1</v>
      </c>
      <c r="C4" s="38" t="s">
        <v>87</v>
      </c>
    </row>
    <row r="5" spans="1:23" ht="60" x14ac:dyDescent="0.25">
      <c r="A5" s="53" t="s">
        <v>62</v>
      </c>
      <c r="B5" s="71">
        <v>1</v>
      </c>
      <c r="C5" s="38" t="s">
        <v>32</v>
      </c>
    </row>
    <row r="6" spans="1:23" ht="60" x14ac:dyDescent="0.25">
      <c r="A6" s="53" t="s">
        <v>63</v>
      </c>
      <c r="B6" s="71">
        <v>0</v>
      </c>
      <c r="C6" s="38" t="s">
        <v>33</v>
      </c>
    </row>
    <row r="7" spans="1:23" ht="51.75" customHeight="1" x14ac:dyDescent="0.25">
      <c r="A7" s="53"/>
      <c r="B7" s="75" t="str">
        <f>IF(SUM(B3:B6) = 0, "Error:  No topics were selected above to be modeled.  Please enter one or more topics to be modeled", "")</f>
        <v/>
      </c>
      <c r="C7" s="38"/>
    </row>
    <row r="8" spans="1:23" ht="75" x14ac:dyDescent="0.25">
      <c r="A8" s="53" t="s">
        <v>51</v>
      </c>
      <c r="B8" s="76">
        <v>4000</v>
      </c>
      <c r="C8" s="38" t="s">
        <v>58</v>
      </c>
    </row>
    <row r="9" spans="1:23" x14ac:dyDescent="0.25">
      <c r="A9" s="53"/>
      <c r="B9" s="76"/>
      <c r="C9" s="38"/>
    </row>
    <row r="10" spans="1:23" ht="90" x14ac:dyDescent="0.25">
      <c r="A10" s="53" t="s">
        <v>136</v>
      </c>
      <c r="B10" s="76">
        <f>37</f>
        <v>37</v>
      </c>
      <c r="C10" s="38" t="s">
        <v>135</v>
      </c>
    </row>
    <row r="11" spans="1:23" x14ac:dyDescent="0.25">
      <c r="A11" s="53"/>
      <c r="B11" s="76"/>
      <c r="C11" s="38"/>
    </row>
    <row r="12" spans="1:23" ht="180" x14ac:dyDescent="0.25">
      <c r="A12" s="53" t="s">
        <v>57</v>
      </c>
      <c r="B12" s="76">
        <v>0</v>
      </c>
      <c r="C12" s="38" t="s">
        <v>74</v>
      </c>
    </row>
    <row r="13" spans="1:23" x14ac:dyDescent="0.25">
      <c r="A13" s="52"/>
      <c r="B13" s="78"/>
      <c r="C13" s="38"/>
    </row>
    <row r="14" spans="1:23" ht="30" x14ac:dyDescent="0.25">
      <c r="A14" s="53" t="s">
        <v>34</v>
      </c>
      <c r="B14" s="71">
        <v>5</v>
      </c>
      <c r="C14" s="38" t="s">
        <v>35</v>
      </c>
    </row>
    <row r="15" spans="1:23" x14ac:dyDescent="0.25">
      <c r="A15" s="52"/>
      <c r="B15" s="78"/>
      <c r="C15" s="38"/>
    </row>
    <row r="16" spans="1:23" x14ac:dyDescent="0.25">
      <c r="A16" s="53" t="s">
        <v>65</v>
      </c>
      <c r="B16" s="71">
        <v>1765</v>
      </c>
      <c r="C16" s="38" t="s">
        <v>43</v>
      </c>
    </row>
    <row r="17" spans="1:23" x14ac:dyDescent="0.25">
      <c r="A17" s="53" t="s">
        <v>50</v>
      </c>
      <c r="B17" s="71">
        <v>2000</v>
      </c>
      <c r="C17" s="38" t="s">
        <v>42</v>
      </c>
    </row>
    <row r="18" spans="1:23" x14ac:dyDescent="0.25">
      <c r="A18" s="53" t="s">
        <v>66</v>
      </c>
      <c r="B18" s="71">
        <v>700</v>
      </c>
      <c r="C18" s="38" t="s">
        <v>39</v>
      </c>
    </row>
    <row r="19" spans="1:23" x14ac:dyDescent="0.25">
      <c r="A19" s="53"/>
      <c r="B19" s="71"/>
      <c r="C19" s="38"/>
    </row>
    <row r="20" spans="1:23" ht="79.5" customHeight="1" x14ac:dyDescent="0.25">
      <c r="A20" s="53" t="s">
        <v>89</v>
      </c>
      <c r="B20" s="71">
        <v>10</v>
      </c>
      <c r="C20" s="38" t="s">
        <v>88</v>
      </c>
    </row>
    <row r="21" spans="1:23" ht="30" x14ac:dyDescent="0.25">
      <c r="A21" s="53" t="s">
        <v>0</v>
      </c>
      <c r="B21" s="76">
        <v>50000</v>
      </c>
      <c r="C21" s="38" t="s">
        <v>92</v>
      </c>
    </row>
    <row r="22" spans="1:23" x14ac:dyDescent="0.25">
      <c r="A22" s="53" t="s">
        <v>1</v>
      </c>
      <c r="B22" s="76">
        <v>20000</v>
      </c>
      <c r="C22" s="38" t="s">
        <v>53</v>
      </c>
    </row>
    <row r="23" spans="1:23" x14ac:dyDescent="0.25">
      <c r="A23" s="53" t="s">
        <v>40</v>
      </c>
      <c r="B23" s="76">
        <v>0</v>
      </c>
      <c r="C23" s="38" t="s">
        <v>54</v>
      </c>
    </row>
    <row r="24" spans="1:23" ht="42.75" customHeight="1" x14ac:dyDescent="0.25">
      <c r="A24" s="53"/>
      <c r="B24" s="79" t="str">
        <f>IF(SUM(B21:B23) = 0,"Error:  No EPS rates were selected above to be modeled.  Please enter EPS rates to be modeled", "")</f>
        <v/>
      </c>
      <c r="C24" s="38"/>
    </row>
    <row r="25" spans="1:23" ht="60" x14ac:dyDescent="0.25">
      <c r="A25" s="53" t="s">
        <v>67</v>
      </c>
      <c r="B25" s="71">
        <v>48</v>
      </c>
      <c r="C25" s="38" t="s">
        <v>60</v>
      </c>
    </row>
    <row r="26" spans="1:23" x14ac:dyDescent="0.25">
      <c r="A26" s="53"/>
      <c r="B26" s="71"/>
      <c r="C26" s="38"/>
    </row>
    <row r="27" spans="1:23" ht="30" x14ac:dyDescent="0.25">
      <c r="A27" s="53" t="s">
        <v>37</v>
      </c>
      <c r="B27" s="71">
        <v>3</v>
      </c>
      <c r="C27" s="38" t="s">
        <v>45</v>
      </c>
    </row>
    <row r="28" spans="1:23" ht="30" x14ac:dyDescent="0.25">
      <c r="A28" s="53" t="s">
        <v>68</v>
      </c>
      <c r="B28" s="71">
        <v>2</v>
      </c>
      <c r="C28" s="38" t="s">
        <v>93</v>
      </c>
    </row>
    <row r="29" spans="1:23" x14ac:dyDescent="0.25">
      <c r="A29" s="52"/>
      <c r="B29" s="78"/>
      <c r="C29" s="38"/>
    </row>
    <row r="30" spans="1:23" s="1" customFormat="1" ht="21" customHeight="1" x14ac:dyDescent="0.25">
      <c r="A30" s="35" t="s">
        <v>7</v>
      </c>
      <c r="B30" s="50"/>
      <c r="C30" s="40"/>
      <c r="D30" s="41"/>
      <c r="E30" s="41"/>
      <c r="F30" s="41"/>
      <c r="G30" s="41"/>
      <c r="H30" s="41"/>
      <c r="I30" s="41"/>
      <c r="J30" s="41"/>
      <c r="K30" s="41"/>
      <c r="L30" s="41"/>
      <c r="M30" s="41"/>
      <c r="N30" s="41"/>
      <c r="O30" s="41"/>
      <c r="P30" s="41"/>
      <c r="Q30" s="41"/>
      <c r="R30" s="41"/>
      <c r="S30" s="41"/>
      <c r="T30" s="41"/>
      <c r="U30" s="41"/>
      <c r="V30" s="41"/>
      <c r="W30" s="41"/>
    </row>
    <row r="31" spans="1:23" ht="30" x14ac:dyDescent="0.25">
      <c r="A31" s="51" t="s">
        <v>69</v>
      </c>
      <c r="B31" s="59">
        <f xml:space="preserve"> ROUNDUP((((B3*B16*B21*(B25*60*60))/B27)/(1024*1024*1024))*B28,0)</f>
        <v>9469</v>
      </c>
      <c r="C31" s="38" t="s">
        <v>102</v>
      </c>
    </row>
    <row r="32" spans="1:23" ht="75" x14ac:dyDescent="0.25">
      <c r="A32" s="51" t="s">
        <v>72</v>
      </c>
      <c r="B32" s="59">
        <f>ROUNDUP(B4*B31,0)</f>
        <v>9469</v>
      </c>
      <c r="C32" s="14" t="s">
        <v>134</v>
      </c>
    </row>
    <row r="33" spans="1:3" ht="30" x14ac:dyDescent="0.25">
      <c r="A33" s="51" t="s">
        <v>70</v>
      </c>
      <c r="B33" s="59">
        <f xml:space="preserve"> ROUNDUP((((B5*B17*B22*(B25*60*60))/B27)/(1024*1024*1024))*B28,0)</f>
        <v>4292</v>
      </c>
      <c r="C33" s="38" t="s">
        <v>102</v>
      </c>
    </row>
    <row r="34" spans="1:3" ht="60" x14ac:dyDescent="0.25">
      <c r="A34" s="51" t="s">
        <v>71</v>
      </c>
      <c r="B34" s="59">
        <f xml:space="preserve"> ROUNDUP((((B6*B18*B23*(B25*60*60))/B27)/(1024*1024*1024))*B28,0)</f>
        <v>0</v>
      </c>
      <c r="C34" s="38" t="s">
        <v>103</v>
      </c>
    </row>
    <row r="35" spans="1:3" x14ac:dyDescent="0.25">
      <c r="A35" s="54"/>
      <c r="B35" s="60"/>
      <c r="C35" s="38"/>
    </row>
    <row r="36" spans="1:3" ht="30" x14ac:dyDescent="0.25">
      <c r="A36" s="54" t="s">
        <v>56</v>
      </c>
      <c r="B36" s="60">
        <f xml:space="preserve"> ROUNDUP(SUM(B31:B34),0)</f>
        <v>23230</v>
      </c>
      <c r="C36" s="38" t="s">
        <v>81</v>
      </c>
    </row>
    <row r="37" spans="1:3" ht="180" x14ac:dyDescent="0.25">
      <c r="A37" s="51" t="s">
        <v>52</v>
      </c>
      <c r="B37" s="59">
        <f>IF(B8&lt;667,B8*15%,100) + (ROUNDUP(B31*0.2%,0)) + (ROUNDUP(B32*0.2%,0)) + (ROUNDUP(B33*0.2%,0)) + (ROUNDUP(B34*0.2%,0)) + B10</f>
        <v>184</v>
      </c>
      <c r="C37" s="38" t="s">
        <v>73</v>
      </c>
    </row>
    <row r="38" spans="1:3" x14ac:dyDescent="0.25">
      <c r="A38" s="51"/>
      <c r="B38" s="59"/>
      <c r="C38" s="47"/>
    </row>
    <row r="39" spans="1:3" ht="102.75" customHeight="1" x14ac:dyDescent="0.25">
      <c r="A39" s="54" t="s">
        <v>55</v>
      </c>
      <c r="B39" s="61">
        <f>IF(B8-B37&gt;0,B8-B37,"Error:  Available disk space on each Worker Node of " &amp; B8 &amp; " GB is insufficient to store a single day's data based on the Retention Period.")</f>
        <v>3816</v>
      </c>
      <c r="C39" s="38" t="s">
        <v>85</v>
      </c>
    </row>
    <row r="40" spans="1:3" x14ac:dyDescent="0.25">
      <c r="A40" s="51"/>
      <c r="B40" s="62"/>
      <c r="C40" s="42"/>
    </row>
    <row r="41" spans="1:3" ht="106.5" customHeight="1" x14ac:dyDescent="0.25">
      <c r="A41" s="68" t="s">
        <v>59</v>
      </c>
      <c r="B41" s="69">
        <f>IF(ISTEXT(B39),"Error:  Available disk space on each Worker Node of " &amp; B8 &amp; " GB is insufficient to store a single day's data based on the Retention Period",ROUNDUP(B36/B39,0) + B12)</f>
        <v>7</v>
      </c>
      <c r="C41" s="38" t="s">
        <v>84</v>
      </c>
    </row>
    <row r="42" spans="1:3" ht="18" customHeight="1" x14ac:dyDescent="0.25">
      <c r="A42" s="51"/>
      <c r="B42" s="63"/>
    </row>
    <row r="43" spans="1:3" ht="170.25" customHeight="1" x14ac:dyDescent="0.25">
      <c r="A43" s="54" t="s">
        <v>82</v>
      </c>
      <c r="B43" s="61">
        <f>IF(ISTEXT(B39), "Error:  Available disk space on each Worker Node of " &amp; B8 &amp; " GB minus disk overhead of " &amp; B37 &amp; " GB per Worker Node is insufficient to store all data in the cluster for the retention period specified.", IF(B39*B41 &gt;=  B36,B39*B41,"Error:  Available disk space on each Worker Node of " &amp; B8 &amp; " GB minus disk overhead of " &amp; B37 &amp; " GB is insufficient to hold all data in the cluster for the retention period specified.  Available disk space is " &amp; B39*B41 &amp; " GB." &amp; "  A minimum of " &amp; ROUNDUP(B36,0) &amp; " GB of free disk space across the entire cluster is needed"))</f>
        <v>26712</v>
      </c>
      <c r="C43" s="38" t="s">
        <v>83</v>
      </c>
    </row>
    <row r="44" spans="1:3" x14ac:dyDescent="0.25">
      <c r="A44" s="54"/>
      <c r="B44" s="60"/>
      <c r="C44" s="38"/>
    </row>
    <row r="45" spans="1:3" ht="120" x14ac:dyDescent="0.25">
      <c r="A45" s="54" t="s">
        <v>76</v>
      </c>
      <c r="B45" s="64">
        <f>IF(ISTEXT(B39),"Error:  Correct errors indicated in previous cells",B14*24*B28)</f>
        <v>240</v>
      </c>
      <c r="C45" s="38" t="s">
        <v>119</v>
      </c>
    </row>
    <row r="46" spans="1:3" ht="165" x14ac:dyDescent="0.25">
      <c r="A46" s="54" t="s">
        <v>94</v>
      </c>
      <c r="B46" s="61">
        <f>IF(ISTEXT(B39),"Error:  Correct errors indicated in previous cells",IF(B31&gt;0,IF(ROUNDUP(B31/(B41*B45),0)&gt;B8,"Error:  Available disk space on each Worker Node of " &amp; B8 &amp; " GB is insufficient to store a single day's EPS rates based on the Retention Period.  A minimum of " &amp; ROUNDUP(B31/(B41*B45),0) &amp; " GB is needed.",ROUNDUP(B31/(B45*B28),0)),"No CEF partitions are required"))</f>
        <v>20</v>
      </c>
      <c r="C46" s="98" t="s">
        <v>142</v>
      </c>
    </row>
    <row r="47" spans="1:3" x14ac:dyDescent="0.25">
      <c r="A47" s="54"/>
      <c r="B47" s="55"/>
      <c r="C47" s="96"/>
    </row>
    <row r="48" spans="1:3" ht="152.25" customHeight="1" x14ac:dyDescent="0.25">
      <c r="A48" s="54" t="s">
        <v>95</v>
      </c>
      <c r="B48" s="64">
        <f>IF(ISTEXT(B39),"Error:  Correct errors indicated in previous cells",IF(B31&gt;0,IF(ISTEXT(B46), "Error:  Available disk space on each Worker Node of " &amp; B8 &amp; " GB is insufficient to store a single day's  EPS rates based on the Retention Period.  A minimum of " &amp; ROUNDUP(B31/(B41*B46),0) &amp; " GB is needed.",B46* 1024*1024*1024),"No CEF partitions are required"))</f>
        <v>21474836480</v>
      </c>
      <c r="C48" s="85" t="s">
        <v>140</v>
      </c>
    </row>
    <row r="49" spans="1:23" x14ac:dyDescent="0.25">
      <c r="A49" s="54"/>
      <c r="B49" s="55"/>
    </row>
    <row r="50" spans="1:23" ht="165" x14ac:dyDescent="0.25">
      <c r="A50" s="54" t="s">
        <v>96</v>
      </c>
      <c r="B50" s="61">
        <f>IF(ISTEXT(B39),"Error:  Correct errors indicated in previous cells",IF(ISTEXT(B39),"Error:  Available disk space on each Worker Node of " &amp; B8 &amp; " GB is insufficient to store a single day's data based on the Retention Period.  A minimum of " &amp; ROUNDUP(B32/(B41*B45),0) &amp; " GB is needed.",IF(B32&gt;0,IF(ROUNDUP(B32/(B41*B45),0)&gt;B8,"Error:  Available disk space on each Worker Node of " &amp; B8 &amp; " GB is insufficient to store a single day's EPS rates based on the Retention Period.  A minimum of " &amp; ROUNDUP(B32/(B41*B45),0) &amp; " GB is needed.",ROUNDUP(B32/(B45*B28),0)),"No Avro partitions are required")))</f>
        <v>20</v>
      </c>
      <c r="C50" s="98" t="s">
        <v>143</v>
      </c>
    </row>
    <row r="51" spans="1:23" x14ac:dyDescent="0.25">
      <c r="A51" s="54"/>
      <c r="B51" s="55"/>
      <c r="C51" s="96"/>
    </row>
    <row r="52" spans="1:23" ht="152.25" customHeight="1" x14ac:dyDescent="0.25">
      <c r="A52" s="54" t="s">
        <v>97</v>
      </c>
      <c r="B52" s="64">
        <f>IF(ISTEXT(B39),"Error:  Correct errors indicated in previous cells",IF(B32&gt;0,IF(ISTEXT(B50), "Error:  Available disk space on each Worker Node of " &amp; B8 &amp; " GB is insufficient to store a single day's  EPS rates based on the Retention Period.  A minimum of " &amp; ROUNDUP(B32/(B41*B45),0) &amp; " GB is needed.", B50*1024*1024*1024),"No Avro partitions are required"))</f>
        <v>21474836480</v>
      </c>
      <c r="C52" s="85" t="s">
        <v>141</v>
      </c>
    </row>
    <row r="53" spans="1:23" x14ac:dyDescent="0.25">
      <c r="A53" s="56"/>
      <c r="B53" s="55"/>
      <c r="C53" s="28"/>
      <c r="D53"/>
      <c r="E53"/>
      <c r="F53"/>
      <c r="G53"/>
      <c r="H53"/>
      <c r="I53"/>
      <c r="J53"/>
      <c r="K53"/>
      <c r="L53"/>
      <c r="M53"/>
      <c r="N53"/>
      <c r="O53"/>
      <c r="P53"/>
      <c r="Q53"/>
      <c r="R53"/>
      <c r="S53"/>
      <c r="T53"/>
      <c r="U53"/>
      <c r="V53"/>
      <c r="W53"/>
    </row>
    <row r="54" spans="1:23" ht="150" x14ac:dyDescent="0.25">
      <c r="A54" s="56" t="s">
        <v>77</v>
      </c>
      <c r="B54" s="97">
        <f>IF(ISTEXT(B39),"Error:  Correct errors indicated in previous cells",IF(B33&gt;0,IF(B33/(B20*0.001*86400)&lt;6,6,B33/(B20*0.001*86400)),"No ESM partitions are required"))</f>
        <v>6</v>
      </c>
      <c r="C54" s="86" t="s">
        <v>138</v>
      </c>
      <c r="D54"/>
      <c r="E54"/>
      <c r="F54"/>
      <c r="G54"/>
      <c r="H54"/>
      <c r="I54"/>
      <c r="J54"/>
      <c r="K54"/>
      <c r="L54"/>
      <c r="M54"/>
      <c r="N54"/>
      <c r="O54"/>
      <c r="P54"/>
      <c r="Q54"/>
      <c r="R54"/>
      <c r="S54"/>
      <c r="T54"/>
      <c r="U54"/>
      <c r="V54"/>
      <c r="W54"/>
    </row>
    <row r="55" spans="1:23" s="45" customFormat="1" ht="15.75" x14ac:dyDescent="0.25">
      <c r="A55" s="57"/>
      <c r="B55" s="58"/>
      <c r="C55" s="43"/>
      <c r="D55" s="44"/>
      <c r="E55" s="44"/>
      <c r="F55" s="44"/>
      <c r="G55" s="44"/>
      <c r="H55" s="44"/>
      <c r="I55" s="44"/>
      <c r="J55" s="44"/>
      <c r="K55" s="44"/>
      <c r="L55" s="44"/>
      <c r="M55" s="44"/>
      <c r="N55" s="44"/>
      <c r="O55" s="44"/>
      <c r="P55" s="44"/>
      <c r="Q55" s="44"/>
      <c r="R55" s="44"/>
      <c r="S55" s="44"/>
      <c r="T55" s="44"/>
      <c r="U55" s="44"/>
      <c r="V55" s="44"/>
      <c r="W55" s="44"/>
    </row>
    <row r="56" spans="1:23" ht="165" x14ac:dyDescent="0.25">
      <c r="A56" s="54" t="s">
        <v>98</v>
      </c>
      <c r="B56" s="61">
        <f>IF(ISTEXT(B39),"Error:  Correct errors indicated in previous cells",IF(B33&gt;0,IF(B33&gt;0,IF(B54&gt;0,IF(ROUNDUP(B33/(B41*B54),0)&gt;B8,"Error:  Available disk space on each Worker Node of " &amp; B8 &amp; " GB is insufficient to store a single day's EPS rates based on the Retention Period.  A minimum of " &amp; ROUNDUP(B33/(B41*B54),0) &amp; " GB is needed.",ROUNDUP(B33/(B54*B28),0)),0),"Error:  Total calculated disk storage required is zero bytes"),"No ESM partitions are required"))</f>
        <v>358</v>
      </c>
      <c r="C56" s="98" t="s">
        <v>144</v>
      </c>
    </row>
    <row r="57" spans="1:23" x14ac:dyDescent="0.25">
      <c r="A57" s="54"/>
      <c r="B57" s="55"/>
      <c r="C57" s="96"/>
    </row>
    <row r="58" spans="1:23" ht="152.25" customHeight="1" x14ac:dyDescent="0.25">
      <c r="A58" s="54" t="s">
        <v>99</v>
      </c>
      <c r="B58" s="64">
        <f>IF(ISTEXT(B39),"Error:  Correct errors indicated in previous cells",IF(B33&gt;0,IF(B33&gt;0,IF(ISTEXT(B56), "Error:  Available disk space on each Worker Node of " &amp; B8 &amp; " GB is insufficient to store a single day's  EPS rates based on the Retention Period.  A minimum of " &amp; ROUNDUP(B33/(B41*B54),0) &amp; " GB is needed.", B56*1024*1024*1024),"Error:  Total calculated disk storage required is zero bytes"),"No ESM partitions are required"))</f>
        <v>384399572992</v>
      </c>
      <c r="C58" s="85" t="s">
        <v>145</v>
      </c>
    </row>
    <row r="59" spans="1:23" x14ac:dyDescent="0.25">
      <c r="A59" s="57"/>
      <c r="B59" s="58"/>
    </row>
    <row r="60" spans="1:23" ht="45" x14ac:dyDescent="0.25">
      <c r="A60" s="56" t="s">
        <v>78</v>
      </c>
      <c r="B60" s="64" t="str">
        <f>IF(ISTEXT(B39),"Error:  Correct errors indicated in previous cells",IF(B34&gt;0,IF(B34/(B20*0.001*86400)&lt;6,6,B34/(B20*0.001*86400)),"No CTH partitions are required"))</f>
        <v>No CTH partitions are required</v>
      </c>
      <c r="C60" s="14" t="s">
        <v>75</v>
      </c>
      <c r="D60"/>
      <c r="E60"/>
      <c r="F60"/>
      <c r="G60"/>
      <c r="H60"/>
      <c r="I60"/>
      <c r="J60"/>
      <c r="K60"/>
      <c r="L60"/>
      <c r="M60"/>
      <c r="N60"/>
      <c r="O60"/>
      <c r="P60"/>
      <c r="Q60"/>
      <c r="R60"/>
      <c r="S60"/>
      <c r="T60"/>
      <c r="U60"/>
      <c r="V60"/>
      <c r="W60"/>
    </row>
    <row r="61" spans="1:23" s="45" customFormat="1" ht="15.75" x14ac:dyDescent="0.25">
      <c r="A61" s="57"/>
      <c r="B61" s="58"/>
      <c r="C61" s="43"/>
      <c r="D61" s="44"/>
      <c r="E61" s="44"/>
      <c r="F61" s="44"/>
      <c r="G61" s="44"/>
      <c r="H61" s="44"/>
      <c r="I61" s="44"/>
      <c r="J61" s="44"/>
      <c r="K61" s="44"/>
      <c r="L61" s="44"/>
      <c r="M61" s="44"/>
      <c r="N61" s="44"/>
      <c r="O61" s="44"/>
      <c r="P61" s="44"/>
      <c r="Q61" s="44"/>
      <c r="R61" s="44"/>
      <c r="S61" s="44"/>
      <c r="T61" s="44"/>
      <c r="U61" s="44"/>
      <c r="V61" s="44"/>
      <c r="W61" s="44"/>
    </row>
    <row r="62" spans="1:23" ht="165" x14ac:dyDescent="0.25">
      <c r="A62" s="54" t="s">
        <v>100</v>
      </c>
      <c r="B62" s="61" t="str">
        <f>IF(ISTEXT(B39),"Error:  Correct errors indicated in previous cells",IF(B34&gt;0,IF(B34&gt;0,IF(B60&gt;0,IF(ROUNDUP(B34/(B60*B41),0)&gt;B8,"Error:  Available disk space on each Worker Node of " &amp; B8 &amp; " GB is insufficient to store a single day's EPS rates based on the Retention Period.  A minimum of " &amp; ROUNDUP(B34/(B41*B60),0) &amp; " GB is needed.",ROUNDUP(B34/(B60*B28),0)),0),"Error:  Total calculated disk storage required is zero bytes"),"No CTH partitions are required"))</f>
        <v>No CTH partitions are required</v>
      </c>
      <c r="C62" s="98" t="s">
        <v>146</v>
      </c>
    </row>
    <row r="63" spans="1:23" x14ac:dyDescent="0.25">
      <c r="A63" s="54"/>
      <c r="B63" s="55"/>
      <c r="C63" s="96"/>
    </row>
    <row r="64" spans="1:23" ht="152.25" customHeight="1" x14ac:dyDescent="0.25">
      <c r="A64" s="54" t="s">
        <v>101</v>
      </c>
      <c r="B64" s="64" t="str">
        <f>IF(ISTEXT(B39),"Error:  Correct errors indicated in previous cells",IF(B34&gt;0,IF(B34&gt;0,IF(ISTEXT(B62), "Error:  Available disk space on each Worker Node of " &amp; B8 &amp; " GB is insufficient to store a single day's  EPS rates based on the Retention Period.  A minimum of " &amp; ROUNDUP(B34/(B41*B60),0) &amp; " GB is needed.", B62*1024*1024*1024),"Error:  Total calculated disk storage required is zero bytes"),"No CTH partitions are required"))</f>
        <v>No CTH partitions are required</v>
      </c>
      <c r="C64" s="85" t="s">
        <v>147</v>
      </c>
    </row>
  </sheetData>
  <sheetProtection sheet="1" objects="1" scenarios="1" selectLockedCells="1"/>
  <conditionalFormatting sqref="B37:B38">
    <cfRule type="containsText" dxfId="17" priority="9" operator="containsText" text="Error:">
      <formula>NOT(ISERROR(SEARCH("Error:",B37)))</formula>
    </cfRule>
  </conditionalFormatting>
  <conditionalFormatting sqref="B48">
    <cfRule type="containsText" dxfId="16" priority="8" operator="containsText" text="Not calculated">
      <formula>NOT(ISERROR(SEARCH("Not calculated",B48)))</formula>
    </cfRule>
  </conditionalFormatting>
  <conditionalFormatting sqref="B39">
    <cfRule type="cellIs" dxfId="15" priority="6" operator="equal">
      <formula>"Available Disk Space on Each Worker Node is Insufficient"</formula>
    </cfRule>
    <cfRule type="cellIs" dxfId="14" priority="7" operator="lessThanOrEqual">
      <formula>0</formula>
    </cfRule>
  </conditionalFormatting>
  <conditionalFormatting sqref="B42">
    <cfRule type="cellIs" dxfId="13" priority="5" operator="equal">
      <formula>"Available Disk Space on Each Worker Node is Insufficient"</formula>
    </cfRule>
  </conditionalFormatting>
  <conditionalFormatting sqref="B58">
    <cfRule type="containsText" dxfId="12" priority="4" operator="containsText" text="Not calculated">
      <formula>NOT(ISERROR(SEARCH("Not calculated",B58)))</formula>
    </cfRule>
  </conditionalFormatting>
  <conditionalFormatting sqref="B64">
    <cfRule type="containsText" dxfId="11" priority="3" operator="containsText" text="Not calculated">
      <formula>NOT(ISERROR(SEARCH("Not calculated",B64)))</formula>
    </cfRule>
  </conditionalFormatting>
  <conditionalFormatting sqref="B52">
    <cfRule type="containsText" dxfId="10" priority="2" operator="containsText" text="Not calculated">
      <formula>NOT(ISERROR(SEARCH("Not calculated",B52)))</formula>
    </cfRule>
  </conditionalFormatting>
  <dataValidations count="11">
    <dataValidation type="decimal" operator="greaterThanOrEqual" allowBlank="1" showInputMessage="1" showErrorMessage="1" errorTitle="Topics must be 0 or more" error="The number of Topics to model must be numeric and set to zero or more" sqref="B3:B6">
      <formula1>0</formula1>
    </dataValidation>
    <dataValidation type="whole" operator="greaterThanOrEqual" allowBlank="1" showInputMessage="1" showErrorMessage="1" errorTitle="Minimum value of 50 GB" error="Disk capacity must be numeric and set to 50 GB or more." sqref="B8:B9">
      <formula1>50</formula1>
    </dataValidation>
    <dataValidation type="whole" operator="greaterThanOrEqual" allowBlank="1" showInputMessage="1" showErrorMessage="1" errorTitle="Event size must be zero or more" error="Average event size must be numeric and zero or more " sqref="B16:B18">
      <formula1>0</formula1>
    </dataValidation>
    <dataValidation type="whole" operator="greaterThanOrEqual" allowBlank="1" showInputMessage="1" showErrorMessage="1" errorTitle="Minimum of 1 MB/sec required" error="A minimum value of 1 MB/sec is required" sqref="B20">
      <formula1>1</formula1>
    </dataValidation>
    <dataValidation type="whole" operator="greaterThanOrEqual" allowBlank="1" showInputMessage="1" showErrorMessage="1" errorTitle="EPS rate must be zero or more" error="EPS rate must be numeric and set to zero or more" sqref="B21:B23">
      <formula1>0</formula1>
    </dataValidation>
    <dataValidation type="whole" operator="greaterThanOrEqual" allowBlank="1" showInputMessage="1" showErrorMessage="1" errorTitle="Minimum of 1 hour required" error="Kafka log retention must be set to 1 hour or more" sqref="B25">
      <formula1>1</formula1>
    </dataValidation>
    <dataValidation type="whole" operator="greaterThanOrEqual" allowBlank="1" showInputMessage="1" showErrorMessage="1" errorTitle="Minimum of 1:1 compression" error="A minimum compression ratio of 1:1 is required" sqref="B27">
      <formula1>1</formula1>
    </dataValidation>
    <dataValidation type="whole" operator="greaterThanOrEqual" allowBlank="1" showInputMessage="1" showErrorMessage="1" errorTitle="Minimum of 1 Replica Required" error="A minimum of 1 Topic replica is required" sqref="B28">
      <formula1>1</formula1>
    </dataValidation>
    <dataValidation type="whole" operator="greaterThanOrEqual" allowBlank="1" showInputMessage="1" showErrorMessage="1" errorTitle="Minimum value of zero" error="Additional Worker Nodes must be numeric and set to zero or more" sqref="B12">
      <formula1>0</formula1>
    </dataValidation>
    <dataValidation type="whole" operator="greaterThanOrEqual" allowBlank="1" showInputMessage="1" showErrorMessage="1" errorTitle="Minimum value of 50 GB" error="The minimum value is 50." sqref="B11">
      <formula1>50</formula1>
    </dataValidation>
    <dataValidation type="whole" operator="greaterThan" allowBlank="1" showInputMessage="1" showErrorMessage="1" errorTitle="Minimum of 1 Vertica Node Needed" error="A minimum of 1 Vertica node is required" sqref="B14">
      <formula1>0</formula1>
    </dataValidation>
  </dataValidations>
  <pageMargins left="0.7" right="0.7" top="0.75" bottom="0.75" header="0.3" footer="0.3"/>
  <pageSetup orientation="portrait" r:id="rId1"/>
  <ignoredErrors>
    <ignoredError sqref="B24" formulaRange="1"/>
  </ignoredErrors>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Error:" id="{2D97E1AB-3129-4498-A06C-09A7F70521CF}">
            <xm:f>NOT(ISERROR(SEARCH("Error:",'TH - Known Disk Size'!B10)))</xm:f>
            <x14:dxf>
              <font>
                <color rgb="FFFF0000"/>
              </font>
            </x14:dxf>
          </x14:cfRule>
          <xm:sqref>B10</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6"/>
  <sheetViews>
    <sheetView workbookViewId="0">
      <selection activeCell="B3" sqref="B3"/>
    </sheetView>
  </sheetViews>
  <sheetFormatPr defaultRowHeight="15" x14ac:dyDescent="0.25"/>
  <cols>
    <col min="1" max="1" width="45.7109375" style="39" customWidth="1"/>
    <col min="2" max="2" width="32.28515625" style="46" customWidth="1"/>
    <col min="3" max="3" width="92" style="39" customWidth="1"/>
    <col min="4" max="23" width="9.140625" style="37"/>
  </cols>
  <sheetData>
    <row r="1" spans="1:23" s="2" customFormat="1" ht="21" x14ac:dyDescent="0.25">
      <c r="A1" s="32"/>
      <c r="B1" s="49" t="s">
        <v>122</v>
      </c>
      <c r="C1" s="33"/>
      <c r="D1" s="34"/>
      <c r="E1" s="34"/>
      <c r="F1" s="34"/>
      <c r="G1" s="34"/>
      <c r="H1" s="34"/>
      <c r="I1" s="34"/>
      <c r="J1" s="34"/>
      <c r="K1" s="34"/>
      <c r="L1" s="34"/>
      <c r="M1" s="34"/>
      <c r="N1" s="34"/>
      <c r="O1" s="34"/>
      <c r="P1" s="34"/>
      <c r="Q1" s="34"/>
      <c r="R1" s="34"/>
      <c r="S1" s="34"/>
      <c r="T1" s="34"/>
      <c r="U1" s="34"/>
      <c r="V1" s="34"/>
      <c r="W1" s="34"/>
    </row>
    <row r="2" spans="1:23" ht="37.5" x14ac:dyDescent="0.25">
      <c r="A2" s="35" t="s">
        <v>131</v>
      </c>
      <c r="B2" s="48"/>
      <c r="C2" s="36"/>
    </row>
    <row r="3" spans="1:23" s="74" customFormat="1" ht="60" x14ac:dyDescent="0.25">
      <c r="A3" s="70" t="s">
        <v>61</v>
      </c>
      <c r="B3" s="71">
        <v>1</v>
      </c>
      <c r="C3" s="72" t="s">
        <v>31</v>
      </c>
      <c r="D3" s="73"/>
      <c r="E3" s="73"/>
      <c r="F3" s="73"/>
      <c r="G3" s="73"/>
      <c r="H3" s="73"/>
      <c r="I3" s="73"/>
      <c r="J3" s="73"/>
      <c r="K3" s="73"/>
      <c r="L3" s="73"/>
      <c r="M3" s="73"/>
      <c r="N3" s="73"/>
      <c r="O3" s="73"/>
      <c r="P3" s="73"/>
      <c r="Q3" s="73"/>
      <c r="R3" s="73"/>
      <c r="S3" s="73"/>
      <c r="T3" s="73"/>
      <c r="U3" s="73"/>
      <c r="V3" s="73"/>
      <c r="W3" s="73"/>
    </row>
    <row r="4" spans="1:23" s="74" customFormat="1" ht="60" x14ac:dyDescent="0.25">
      <c r="A4" s="70" t="s">
        <v>133</v>
      </c>
      <c r="B4" s="71">
        <v>1</v>
      </c>
      <c r="C4" s="72" t="s">
        <v>41</v>
      </c>
      <c r="D4" s="73"/>
      <c r="E4" s="73"/>
      <c r="F4" s="73"/>
      <c r="G4" s="73"/>
      <c r="H4" s="73"/>
      <c r="I4" s="73"/>
      <c r="J4" s="73"/>
      <c r="K4" s="73"/>
      <c r="L4" s="73"/>
      <c r="M4" s="73"/>
      <c r="N4" s="73"/>
      <c r="O4" s="73"/>
      <c r="P4" s="73"/>
      <c r="Q4" s="73"/>
      <c r="R4" s="73"/>
      <c r="S4" s="73"/>
      <c r="T4" s="73"/>
      <c r="U4" s="73"/>
      <c r="V4" s="73"/>
      <c r="W4" s="73"/>
    </row>
    <row r="5" spans="1:23" s="74" customFormat="1" ht="60" x14ac:dyDescent="0.25">
      <c r="A5" s="70" t="s">
        <v>62</v>
      </c>
      <c r="B5" s="71">
        <v>1</v>
      </c>
      <c r="C5" s="72" t="s">
        <v>32</v>
      </c>
      <c r="D5" s="73"/>
      <c r="E5" s="73"/>
      <c r="F5" s="73"/>
      <c r="G5" s="73"/>
      <c r="H5" s="73"/>
      <c r="I5" s="73"/>
      <c r="J5" s="73"/>
      <c r="K5" s="73"/>
      <c r="L5" s="73"/>
      <c r="M5" s="73"/>
      <c r="N5" s="73"/>
      <c r="O5" s="73"/>
      <c r="P5" s="73"/>
      <c r="Q5" s="73"/>
      <c r="R5" s="73"/>
      <c r="S5" s="73"/>
      <c r="T5" s="73"/>
      <c r="U5" s="73"/>
      <c r="V5" s="73"/>
      <c r="W5" s="73"/>
    </row>
    <row r="6" spans="1:23" s="74" customFormat="1" ht="60" x14ac:dyDescent="0.25">
      <c r="A6" s="70" t="s">
        <v>63</v>
      </c>
      <c r="B6" s="71">
        <v>0</v>
      </c>
      <c r="C6" s="72" t="s">
        <v>33</v>
      </c>
      <c r="D6" s="73"/>
      <c r="E6" s="73"/>
      <c r="F6" s="73"/>
      <c r="G6" s="73"/>
      <c r="H6" s="73"/>
      <c r="I6" s="73"/>
      <c r="J6" s="73"/>
      <c r="K6" s="73"/>
      <c r="L6" s="73"/>
      <c r="M6" s="73"/>
      <c r="N6" s="73"/>
      <c r="O6" s="73"/>
      <c r="P6" s="73"/>
      <c r="Q6" s="73"/>
      <c r="R6" s="73"/>
      <c r="S6" s="73"/>
      <c r="T6" s="73"/>
      <c r="U6" s="73"/>
      <c r="V6" s="73"/>
      <c r="W6" s="73"/>
    </row>
    <row r="7" spans="1:23" s="74" customFormat="1" ht="52.5" customHeight="1" x14ac:dyDescent="0.25">
      <c r="A7" s="70"/>
      <c r="B7" s="75" t="str">
        <f>IF(SUM(B3:B6) = 0, "Error:  No topics were selected above to be modeled.  Please enter one or more topics to be modeled", "")</f>
        <v/>
      </c>
      <c r="C7" s="72"/>
      <c r="D7" s="73"/>
      <c r="E7" s="73"/>
      <c r="F7" s="73"/>
      <c r="G7" s="73"/>
      <c r="H7" s="73"/>
      <c r="I7" s="73"/>
      <c r="J7" s="73"/>
      <c r="K7" s="73"/>
      <c r="L7" s="73"/>
      <c r="M7" s="73"/>
      <c r="N7" s="73"/>
      <c r="O7" s="73"/>
      <c r="P7" s="73"/>
      <c r="Q7" s="73"/>
      <c r="R7" s="73"/>
      <c r="S7" s="73"/>
      <c r="T7" s="73"/>
      <c r="U7" s="73"/>
      <c r="V7" s="73"/>
      <c r="W7" s="73"/>
    </row>
    <row r="8" spans="1:23" s="74" customFormat="1" ht="165" x14ac:dyDescent="0.25">
      <c r="A8" s="70" t="s">
        <v>104</v>
      </c>
      <c r="B8" s="76">
        <v>5</v>
      </c>
      <c r="C8" s="72" t="s">
        <v>105</v>
      </c>
      <c r="D8" s="73"/>
      <c r="E8" s="73"/>
      <c r="F8" s="73"/>
      <c r="G8" s="73"/>
      <c r="H8" s="73"/>
      <c r="I8" s="73"/>
      <c r="J8" s="73"/>
      <c r="K8" s="73"/>
      <c r="L8" s="73"/>
      <c r="M8" s="73"/>
      <c r="N8" s="73"/>
      <c r="O8" s="73"/>
      <c r="P8" s="73"/>
      <c r="Q8" s="73"/>
      <c r="R8" s="73"/>
      <c r="S8" s="73"/>
      <c r="T8" s="73"/>
      <c r="U8" s="73"/>
      <c r="V8" s="73"/>
      <c r="W8" s="73"/>
    </row>
    <row r="9" spans="1:23" s="74" customFormat="1" x14ac:dyDescent="0.25">
      <c r="A9" s="70"/>
      <c r="B9" s="76"/>
      <c r="C9" s="72"/>
      <c r="D9" s="73"/>
      <c r="E9" s="73"/>
      <c r="F9" s="73"/>
      <c r="G9" s="73"/>
      <c r="H9" s="73"/>
      <c r="I9" s="73"/>
      <c r="J9" s="73"/>
      <c r="K9" s="73"/>
      <c r="L9" s="73"/>
      <c r="M9" s="73"/>
      <c r="N9" s="73"/>
      <c r="O9" s="73"/>
      <c r="P9" s="73"/>
      <c r="Q9" s="73"/>
      <c r="R9" s="73"/>
      <c r="S9" s="73"/>
      <c r="T9" s="73"/>
      <c r="U9" s="73"/>
      <c r="V9" s="73"/>
      <c r="W9" s="73"/>
    </row>
    <row r="10" spans="1:23" s="74" customFormat="1" ht="90" x14ac:dyDescent="0.25">
      <c r="A10" s="70" t="s">
        <v>136</v>
      </c>
      <c r="B10" s="76">
        <f>37</f>
        <v>37</v>
      </c>
      <c r="C10" s="72" t="s">
        <v>135</v>
      </c>
      <c r="D10" s="73"/>
      <c r="E10" s="73"/>
      <c r="F10" s="73"/>
      <c r="G10" s="73"/>
      <c r="H10" s="73"/>
      <c r="I10" s="73"/>
      <c r="J10" s="73"/>
      <c r="K10" s="73"/>
      <c r="L10" s="73"/>
      <c r="M10" s="73"/>
      <c r="N10" s="73"/>
      <c r="O10" s="73"/>
      <c r="P10" s="73"/>
      <c r="Q10" s="73"/>
      <c r="R10" s="73"/>
      <c r="S10" s="73"/>
      <c r="T10" s="73"/>
      <c r="U10" s="73"/>
      <c r="V10" s="73"/>
      <c r="W10" s="73"/>
    </row>
    <row r="11" spans="1:23" s="74" customFormat="1" x14ac:dyDescent="0.25">
      <c r="A11" s="77"/>
      <c r="B11" s="78"/>
      <c r="C11" s="72"/>
      <c r="D11" s="73"/>
      <c r="E11" s="73"/>
      <c r="F11" s="73"/>
      <c r="G11" s="73"/>
      <c r="H11" s="73"/>
      <c r="I11" s="73"/>
      <c r="J11" s="73"/>
      <c r="K11" s="73"/>
      <c r="L11" s="73"/>
      <c r="M11" s="73"/>
      <c r="N11" s="73"/>
      <c r="O11" s="73"/>
      <c r="P11" s="73"/>
      <c r="Q11" s="73"/>
      <c r="R11" s="73"/>
      <c r="S11" s="73"/>
      <c r="T11" s="73"/>
      <c r="U11" s="73"/>
      <c r="V11" s="73"/>
      <c r="W11" s="73"/>
    </row>
    <row r="12" spans="1:23" s="74" customFormat="1" ht="30" x14ac:dyDescent="0.25">
      <c r="A12" s="70" t="s">
        <v>34</v>
      </c>
      <c r="B12" s="71">
        <v>5</v>
      </c>
      <c r="C12" s="72" t="s">
        <v>35</v>
      </c>
      <c r="D12" s="73"/>
      <c r="E12" s="73"/>
      <c r="F12" s="73"/>
      <c r="G12" s="73"/>
      <c r="H12" s="73"/>
      <c r="I12" s="73"/>
      <c r="J12" s="73"/>
      <c r="K12" s="73"/>
      <c r="L12" s="73"/>
      <c r="M12" s="73"/>
      <c r="N12" s="73"/>
      <c r="O12" s="73"/>
      <c r="P12" s="73"/>
      <c r="Q12" s="73"/>
      <c r="R12" s="73"/>
      <c r="S12" s="73"/>
      <c r="T12" s="73"/>
      <c r="U12" s="73"/>
      <c r="V12" s="73"/>
      <c r="W12" s="73"/>
    </row>
    <row r="13" spans="1:23" s="74" customFormat="1" x14ac:dyDescent="0.25">
      <c r="A13" s="77"/>
      <c r="B13" s="78"/>
      <c r="C13" s="72"/>
      <c r="D13" s="73"/>
      <c r="E13" s="73"/>
      <c r="F13" s="73"/>
      <c r="G13" s="73"/>
      <c r="H13" s="73"/>
      <c r="I13" s="73"/>
      <c r="J13" s="73"/>
      <c r="K13" s="73"/>
      <c r="L13" s="73"/>
      <c r="M13" s="73"/>
      <c r="N13" s="73"/>
      <c r="O13" s="73"/>
      <c r="P13" s="73"/>
      <c r="Q13" s="73"/>
      <c r="R13" s="73"/>
      <c r="S13" s="73"/>
      <c r="T13" s="73"/>
      <c r="U13" s="73"/>
      <c r="V13" s="73"/>
      <c r="W13" s="73"/>
    </row>
    <row r="14" spans="1:23" s="74" customFormat="1" x14ac:dyDescent="0.25">
      <c r="A14" s="70" t="s">
        <v>65</v>
      </c>
      <c r="B14" s="71">
        <v>1765</v>
      </c>
      <c r="C14" s="72" t="s">
        <v>43</v>
      </c>
      <c r="D14" s="73"/>
      <c r="E14" s="73"/>
      <c r="F14" s="73"/>
      <c r="G14" s="73"/>
      <c r="H14" s="73"/>
      <c r="I14" s="73"/>
      <c r="J14" s="73"/>
      <c r="K14" s="73"/>
      <c r="L14" s="73"/>
      <c r="M14" s="73"/>
      <c r="N14" s="73"/>
      <c r="O14" s="73"/>
      <c r="P14" s="73"/>
      <c r="Q14" s="73"/>
      <c r="R14" s="73"/>
      <c r="S14" s="73"/>
      <c r="T14" s="73"/>
      <c r="U14" s="73"/>
      <c r="V14" s="73"/>
      <c r="W14" s="73"/>
    </row>
    <row r="15" spans="1:23" s="74" customFormat="1" x14ac:dyDescent="0.25">
      <c r="A15" s="70" t="s">
        <v>50</v>
      </c>
      <c r="B15" s="71">
        <v>2000</v>
      </c>
      <c r="C15" s="72" t="s">
        <v>42</v>
      </c>
      <c r="D15" s="73"/>
      <c r="E15" s="73"/>
      <c r="F15" s="73"/>
      <c r="G15" s="73"/>
      <c r="H15" s="73"/>
      <c r="I15" s="73"/>
      <c r="J15" s="73"/>
      <c r="K15" s="73"/>
      <c r="L15" s="73"/>
      <c r="M15" s="73"/>
      <c r="N15" s="73"/>
      <c r="O15" s="73"/>
      <c r="P15" s="73"/>
      <c r="Q15" s="73"/>
      <c r="R15" s="73"/>
      <c r="S15" s="73"/>
      <c r="T15" s="73"/>
      <c r="U15" s="73"/>
      <c r="V15" s="73"/>
      <c r="W15" s="73"/>
    </row>
    <row r="16" spans="1:23" s="74" customFormat="1" x14ac:dyDescent="0.25">
      <c r="A16" s="70" t="s">
        <v>66</v>
      </c>
      <c r="B16" s="71">
        <v>700</v>
      </c>
      <c r="C16" s="72" t="s">
        <v>39</v>
      </c>
      <c r="D16" s="73"/>
      <c r="E16" s="73"/>
      <c r="F16" s="73"/>
      <c r="G16" s="73"/>
      <c r="H16" s="73"/>
      <c r="I16" s="73"/>
      <c r="J16" s="73"/>
      <c r="K16" s="73"/>
      <c r="L16" s="73"/>
      <c r="M16" s="73"/>
      <c r="N16" s="73"/>
      <c r="O16" s="73"/>
      <c r="P16" s="73"/>
      <c r="Q16" s="73"/>
      <c r="R16" s="73"/>
      <c r="S16" s="73"/>
      <c r="T16" s="73"/>
      <c r="U16" s="73"/>
      <c r="V16" s="73"/>
      <c r="W16" s="73"/>
    </row>
    <row r="17" spans="1:23" s="74" customFormat="1" x14ac:dyDescent="0.25">
      <c r="A17" s="70"/>
      <c r="B17" s="71"/>
      <c r="C17" s="72"/>
      <c r="D17" s="73"/>
      <c r="E17" s="73"/>
      <c r="F17" s="73"/>
      <c r="G17" s="73"/>
      <c r="H17" s="73"/>
      <c r="I17" s="73"/>
      <c r="J17" s="73"/>
      <c r="K17" s="73"/>
      <c r="L17" s="73"/>
      <c r="M17" s="73"/>
      <c r="N17" s="73"/>
      <c r="O17" s="73"/>
      <c r="P17" s="73"/>
      <c r="Q17" s="73"/>
      <c r="R17" s="73"/>
      <c r="S17" s="73"/>
      <c r="T17" s="73"/>
      <c r="U17" s="73"/>
      <c r="V17" s="73"/>
      <c r="W17" s="73"/>
    </row>
    <row r="18" spans="1:23" s="74" customFormat="1" ht="75" x14ac:dyDescent="0.25">
      <c r="A18" s="70" t="s">
        <v>89</v>
      </c>
      <c r="B18" s="71">
        <v>10</v>
      </c>
      <c r="C18" s="72" t="s">
        <v>88</v>
      </c>
      <c r="D18" s="73"/>
      <c r="E18" s="73"/>
      <c r="F18" s="73"/>
      <c r="G18" s="73"/>
      <c r="H18" s="73"/>
      <c r="I18" s="73"/>
      <c r="J18" s="73"/>
      <c r="K18" s="73"/>
      <c r="L18" s="73"/>
      <c r="M18" s="73"/>
      <c r="N18" s="73"/>
      <c r="O18" s="73"/>
      <c r="P18" s="73"/>
      <c r="Q18" s="73"/>
      <c r="R18" s="73"/>
      <c r="S18" s="73"/>
      <c r="T18" s="73"/>
      <c r="U18" s="73"/>
      <c r="V18" s="73"/>
      <c r="W18" s="73"/>
    </row>
    <row r="19" spans="1:23" s="74" customFormat="1" ht="30" x14ac:dyDescent="0.25">
      <c r="A19" s="70" t="s">
        <v>0</v>
      </c>
      <c r="B19" s="76">
        <v>50000</v>
      </c>
      <c r="C19" s="72" t="s">
        <v>92</v>
      </c>
      <c r="D19" s="73"/>
      <c r="E19" s="73"/>
      <c r="F19" s="73"/>
      <c r="G19" s="73"/>
      <c r="H19" s="73"/>
      <c r="I19" s="73"/>
      <c r="J19" s="73"/>
      <c r="K19" s="73"/>
      <c r="L19" s="73"/>
      <c r="M19" s="73"/>
      <c r="N19" s="73"/>
      <c r="O19" s="73"/>
      <c r="P19" s="73"/>
      <c r="Q19" s="73"/>
      <c r="R19" s="73"/>
      <c r="S19" s="73"/>
      <c r="T19" s="73"/>
      <c r="U19" s="73"/>
      <c r="V19" s="73"/>
      <c r="W19" s="73"/>
    </row>
    <row r="20" spans="1:23" s="74" customFormat="1" x14ac:dyDescent="0.25">
      <c r="A20" s="70" t="s">
        <v>1</v>
      </c>
      <c r="B20" s="76">
        <v>20000</v>
      </c>
      <c r="C20" s="72" t="s">
        <v>53</v>
      </c>
      <c r="D20" s="73"/>
      <c r="E20" s="73"/>
      <c r="F20" s="73"/>
      <c r="G20" s="73"/>
      <c r="H20" s="73"/>
      <c r="I20" s="73"/>
      <c r="J20" s="73"/>
      <c r="K20" s="73"/>
      <c r="L20" s="73"/>
      <c r="M20" s="73"/>
      <c r="N20" s="73"/>
      <c r="O20" s="73"/>
      <c r="P20" s="73"/>
      <c r="Q20" s="73"/>
      <c r="R20" s="73"/>
      <c r="S20" s="73"/>
      <c r="T20" s="73"/>
      <c r="U20" s="73"/>
      <c r="V20" s="73"/>
      <c r="W20" s="73"/>
    </row>
    <row r="21" spans="1:23" s="74" customFormat="1" x14ac:dyDescent="0.25">
      <c r="A21" s="70" t="s">
        <v>40</v>
      </c>
      <c r="B21" s="76">
        <v>0</v>
      </c>
      <c r="C21" s="72" t="s">
        <v>54</v>
      </c>
      <c r="D21" s="73"/>
      <c r="E21" s="73"/>
      <c r="F21" s="73"/>
      <c r="G21" s="73"/>
      <c r="H21" s="73"/>
      <c r="I21" s="73"/>
      <c r="J21" s="73"/>
      <c r="K21" s="73"/>
      <c r="L21" s="73"/>
      <c r="M21" s="73"/>
      <c r="N21" s="73"/>
      <c r="O21" s="73"/>
      <c r="P21" s="73"/>
      <c r="Q21" s="73"/>
      <c r="R21" s="73"/>
      <c r="S21" s="73"/>
      <c r="T21" s="73"/>
      <c r="U21" s="73"/>
      <c r="V21" s="73"/>
      <c r="W21" s="73"/>
    </row>
    <row r="22" spans="1:23" s="74" customFormat="1" ht="42.75" customHeight="1" x14ac:dyDescent="0.25">
      <c r="A22" s="70"/>
      <c r="B22" s="79" t="str">
        <f>IF(SUM(B19:B21) = 0,"Error:  No EPS rates were selected above to be modeled.  Please enter EPS rates to be modeled", "")</f>
        <v/>
      </c>
      <c r="C22" s="72"/>
      <c r="D22" s="73"/>
      <c r="E22" s="73"/>
      <c r="F22" s="73"/>
      <c r="G22" s="73"/>
      <c r="H22" s="73"/>
      <c r="I22" s="73"/>
      <c r="J22" s="73"/>
      <c r="K22" s="73"/>
      <c r="L22" s="73"/>
      <c r="M22" s="73"/>
      <c r="N22" s="73"/>
      <c r="O22" s="73"/>
      <c r="P22" s="73"/>
      <c r="Q22" s="73"/>
      <c r="R22" s="73"/>
      <c r="S22" s="73"/>
      <c r="T22" s="73"/>
      <c r="U22" s="73"/>
      <c r="V22" s="73"/>
      <c r="W22" s="73"/>
    </row>
    <row r="23" spans="1:23" s="74" customFormat="1" ht="60" x14ac:dyDescent="0.25">
      <c r="A23" s="70" t="s">
        <v>67</v>
      </c>
      <c r="B23" s="71">
        <v>48</v>
      </c>
      <c r="C23" s="72" t="s">
        <v>60</v>
      </c>
      <c r="D23" s="73"/>
      <c r="E23" s="73"/>
      <c r="F23" s="73"/>
      <c r="G23" s="73"/>
      <c r="H23" s="73"/>
      <c r="I23" s="73"/>
      <c r="J23" s="73"/>
      <c r="K23" s="73"/>
      <c r="L23" s="73"/>
      <c r="M23" s="73"/>
      <c r="N23" s="73"/>
      <c r="O23" s="73"/>
      <c r="P23" s="73"/>
      <c r="Q23" s="73"/>
      <c r="R23" s="73"/>
      <c r="S23" s="73"/>
      <c r="T23" s="73"/>
      <c r="U23" s="73"/>
      <c r="V23" s="73"/>
      <c r="W23" s="73"/>
    </row>
    <row r="24" spans="1:23" s="74" customFormat="1" x14ac:dyDescent="0.25">
      <c r="A24" s="70"/>
      <c r="B24" s="71"/>
      <c r="C24" s="72"/>
      <c r="D24" s="73"/>
      <c r="E24" s="73"/>
      <c r="F24" s="73"/>
      <c r="G24" s="73"/>
      <c r="H24" s="73"/>
      <c r="I24" s="73"/>
      <c r="J24" s="73"/>
      <c r="K24" s="73"/>
      <c r="L24" s="73"/>
      <c r="M24" s="73"/>
      <c r="N24" s="73"/>
      <c r="O24" s="73"/>
      <c r="P24" s="73"/>
      <c r="Q24" s="73"/>
      <c r="R24" s="73"/>
      <c r="S24" s="73"/>
      <c r="T24" s="73"/>
      <c r="U24" s="73"/>
      <c r="V24" s="73"/>
      <c r="W24" s="73"/>
    </row>
    <row r="25" spans="1:23" s="74" customFormat="1" ht="30" x14ac:dyDescent="0.25">
      <c r="A25" s="70" t="s">
        <v>37</v>
      </c>
      <c r="B25" s="71">
        <v>3</v>
      </c>
      <c r="C25" s="72" t="s">
        <v>45</v>
      </c>
      <c r="D25" s="73"/>
      <c r="E25" s="73"/>
      <c r="F25" s="73"/>
      <c r="G25" s="73"/>
      <c r="H25" s="73"/>
      <c r="I25" s="73"/>
      <c r="J25" s="73"/>
      <c r="K25" s="73"/>
      <c r="L25" s="73"/>
      <c r="M25" s="73"/>
      <c r="N25" s="73"/>
      <c r="O25" s="73"/>
      <c r="P25" s="73"/>
      <c r="Q25" s="73"/>
      <c r="R25" s="73"/>
      <c r="S25" s="73"/>
      <c r="T25" s="73"/>
      <c r="U25" s="73"/>
      <c r="V25" s="73"/>
      <c r="W25" s="73"/>
    </row>
    <row r="26" spans="1:23" s="74" customFormat="1" ht="30" x14ac:dyDescent="0.25">
      <c r="A26" s="70" t="s">
        <v>68</v>
      </c>
      <c r="B26" s="71">
        <v>2</v>
      </c>
      <c r="C26" s="72" t="s">
        <v>93</v>
      </c>
      <c r="D26" s="73"/>
      <c r="E26" s="73"/>
      <c r="F26" s="73"/>
      <c r="G26" s="73"/>
      <c r="H26" s="73"/>
      <c r="I26" s="73"/>
      <c r="J26" s="73"/>
      <c r="K26" s="73"/>
      <c r="L26" s="73"/>
      <c r="M26" s="73"/>
      <c r="N26" s="73"/>
      <c r="O26" s="73"/>
      <c r="P26" s="73"/>
      <c r="Q26" s="73"/>
      <c r="R26" s="73"/>
      <c r="S26" s="73"/>
      <c r="T26" s="73"/>
      <c r="U26" s="73"/>
      <c r="V26" s="73"/>
      <c r="W26" s="73"/>
    </row>
    <row r="27" spans="1:23" s="74" customFormat="1" x14ac:dyDescent="0.25">
      <c r="A27" s="77"/>
      <c r="B27" s="78"/>
      <c r="C27" s="72"/>
      <c r="D27" s="73"/>
      <c r="E27" s="73"/>
      <c r="F27" s="73"/>
      <c r="G27" s="73"/>
      <c r="H27" s="73"/>
      <c r="I27" s="73"/>
      <c r="J27" s="73"/>
      <c r="K27" s="73"/>
      <c r="L27" s="73"/>
      <c r="M27" s="73"/>
      <c r="N27" s="73"/>
      <c r="O27" s="73"/>
      <c r="P27" s="73"/>
      <c r="Q27" s="73"/>
      <c r="R27" s="73"/>
      <c r="S27" s="73"/>
      <c r="T27" s="73"/>
      <c r="U27" s="73"/>
      <c r="V27" s="73"/>
      <c r="W27" s="73"/>
    </row>
    <row r="28" spans="1:23" s="1" customFormat="1" ht="21.75" customHeight="1" x14ac:dyDescent="0.25">
      <c r="A28" s="35" t="s">
        <v>7</v>
      </c>
      <c r="B28" s="50"/>
      <c r="C28" s="40"/>
      <c r="D28" s="41"/>
      <c r="E28" s="41"/>
      <c r="F28" s="41"/>
      <c r="G28" s="41"/>
      <c r="H28" s="41"/>
      <c r="I28" s="41"/>
      <c r="J28" s="41"/>
      <c r="K28" s="41"/>
      <c r="L28" s="41"/>
      <c r="M28" s="41"/>
      <c r="N28" s="41"/>
      <c r="O28" s="41"/>
      <c r="P28" s="41"/>
      <c r="Q28" s="41"/>
      <c r="R28" s="41"/>
      <c r="S28" s="41"/>
      <c r="T28" s="41"/>
      <c r="U28" s="41"/>
      <c r="V28" s="41"/>
      <c r="W28" s="41"/>
    </row>
    <row r="29" spans="1:23" ht="30" x14ac:dyDescent="0.25">
      <c r="A29" s="51" t="s">
        <v>69</v>
      </c>
      <c r="B29" s="59">
        <f>ROUNDUP( (((B3*B14*B19*(B23*60*60))/B25)/(1024*1024*1024))*B26,0)</f>
        <v>9469</v>
      </c>
      <c r="C29" s="38" t="s">
        <v>102</v>
      </c>
    </row>
    <row r="30" spans="1:23" ht="75" x14ac:dyDescent="0.25">
      <c r="A30" s="51" t="s">
        <v>72</v>
      </c>
      <c r="B30" s="59">
        <f>ROUNDUP(B4*B29,0)</f>
        <v>9469</v>
      </c>
      <c r="C30" s="14" t="s">
        <v>134</v>
      </c>
    </row>
    <row r="31" spans="1:23" ht="30" x14ac:dyDescent="0.25">
      <c r="A31" s="51" t="s">
        <v>70</v>
      </c>
      <c r="B31" s="59">
        <f>ROUNDUP((((B5*B15*B20*(B23*60*60))/B25)/(1024*1024*1024))*B26,0)</f>
        <v>4292</v>
      </c>
      <c r="C31" s="38" t="s">
        <v>102</v>
      </c>
    </row>
    <row r="32" spans="1:23" ht="60" x14ac:dyDescent="0.25">
      <c r="A32" s="51" t="s">
        <v>71</v>
      </c>
      <c r="B32" s="59">
        <f xml:space="preserve"> ROUNDUP((((B6*B16*B21*(B23*60*60))/B25)/(1024*1024*1024))*B26,0)</f>
        <v>0</v>
      </c>
      <c r="C32" s="38" t="s">
        <v>103</v>
      </c>
    </row>
    <row r="33" spans="1:23" x14ac:dyDescent="0.25">
      <c r="A33" s="54"/>
      <c r="B33" s="60"/>
      <c r="C33" s="38"/>
    </row>
    <row r="34" spans="1:23" ht="30" x14ac:dyDescent="0.25">
      <c r="A34" s="54" t="s">
        <v>56</v>
      </c>
      <c r="B34" s="60">
        <f xml:space="preserve"> ROUNDUP(SUM(B29:B32),0)</f>
        <v>23230</v>
      </c>
      <c r="C34" s="38" t="s">
        <v>81</v>
      </c>
    </row>
    <row r="35" spans="1:23" x14ac:dyDescent="0.25">
      <c r="A35" s="54"/>
      <c r="B35" s="60"/>
      <c r="C35" s="38"/>
    </row>
    <row r="36" spans="1:23" ht="120" x14ac:dyDescent="0.25">
      <c r="A36" s="54" t="s">
        <v>80</v>
      </c>
      <c r="B36" s="64">
        <f>B12*24*B26</f>
        <v>240</v>
      </c>
      <c r="C36" s="38" t="s">
        <v>119</v>
      </c>
    </row>
    <row r="37" spans="1:23" x14ac:dyDescent="0.25">
      <c r="A37" s="54"/>
      <c r="B37" s="64"/>
      <c r="C37" s="14"/>
    </row>
    <row r="38" spans="1:23" ht="165" x14ac:dyDescent="0.25">
      <c r="A38" s="54" t="s">
        <v>118</v>
      </c>
      <c r="B38" s="61">
        <f>IF(B29&gt;0,ROUNDUP(B29/(B36*B26),0),"No CEF partitions are required")</f>
        <v>20</v>
      </c>
      <c r="C38" s="98" t="s">
        <v>142</v>
      </c>
    </row>
    <row r="39" spans="1:23" x14ac:dyDescent="0.25">
      <c r="A39" s="54"/>
      <c r="B39" s="55"/>
      <c r="C39" s="96"/>
    </row>
    <row r="40" spans="1:23" ht="152.25" customHeight="1" x14ac:dyDescent="0.25">
      <c r="A40" s="54" t="s">
        <v>117</v>
      </c>
      <c r="B40" s="64">
        <f>IF(B29&gt;0,IF(ISTEXT(B38), "No CEF partitions are required", B38*1024*1024*1024),"No CEF partitions are required")</f>
        <v>21474836480</v>
      </c>
      <c r="C40" s="85" t="s">
        <v>140</v>
      </c>
    </row>
    <row r="41" spans="1:23" x14ac:dyDescent="0.25">
      <c r="A41" s="54"/>
      <c r="B41" s="60"/>
      <c r="C41" s="38"/>
    </row>
    <row r="42" spans="1:23" ht="150" x14ac:dyDescent="0.25">
      <c r="A42" s="54" t="s">
        <v>90</v>
      </c>
      <c r="B42" s="64">
        <f>B36</f>
        <v>240</v>
      </c>
      <c r="C42" s="14" t="s">
        <v>91</v>
      </c>
    </row>
    <row r="43" spans="1:23" x14ac:dyDescent="0.25">
      <c r="A43" s="54"/>
      <c r="B43" s="55"/>
    </row>
    <row r="44" spans="1:23" ht="165" x14ac:dyDescent="0.25">
      <c r="A44" s="54" t="s">
        <v>116</v>
      </c>
      <c r="B44" s="61">
        <f>IF(B30&gt;0,ROUNDUP(B30/(B42*B26),0),"No Avro partitions are required")</f>
        <v>20</v>
      </c>
      <c r="C44" s="98" t="s">
        <v>143</v>
      </c>
    </row>
    <row r="45" spans="1:23" x14ac:dyDescent="0.25">
      <c r="A45" s="54"/>
      <c r="B45" s="55"/>
      <c r="C45" s="96"/>
    </row>
    <row r="46" spans="1:23" ht="152.25" customHeight="1" x14ac:dyDescent="0.25">
      <c r="A46" s="54" t="s">
        <v>115</v>
      </c>
      <c r="B46" s="64">
        <f>IF(B30&gt;0,IF(ISTEXT(B44),"No Avro partitions are required", B44*1024*1024*1024),"No Avro partitions are required")</f>
        <v>21474836480</v>
      </c>
      <c r="C46" s="85" t="s">
        <v>141</v>
      </c>
    </row>
    <row r="47" spans="1:23" x14ac:dyDescent="0.25">
      <c r="A47" s="56"/>
      <c r="B47" s="55"/>
      <c r="C47" s="28"/>
      <c r="D47"/>
      <c r="E47"/>
      <c r="F47"/>
      <c r="G47"/>
      <c r="H47"/>
      <c r="I47"/>
      <c r="J47"/>
      <c r="K47"/>
      <c r="L47"/>
      <c r="M47"/>
      <c r="N47"/>
      <c r="O47"/>
      <c r="P47"/>
      <c r="Q47"/>
      <c r="R47"/>
      <c r="S47"/>
      <c r="T47"/>
      <c r="U47"/>
      <c r="V47"/>
      <c r="W47"/>
    </row>
    <row r="48" spans="1:23" ht="150" x14ac:dyDescent="0.25">
      <c r="A48" s="56" t="s">
        <v>77</v>
      </c>
      <c r="B48" s="97">
        <f>IF(B31&gt;0,IF(B31/(B18*0.001*86400)&lt;6,6,B31/(B18*0.001*86400)),"No ESM partitions are required")</f>
        <v>6</v>
      </c>
      <c r="C48" s="86" t="s">
        <v>138</v>
      </c>
      <c r="D48"/>
      <c r="E48"/>
      <c r="F48"/>
      <c r="G48"/>
      <c r="H48"/>
      <c r="I48"/>
      <c r="J48"/>
      <c r="K48"/>
      <c r="L48"/>
      <c r="M48"/>
      <c r="N48"/>
      <c r="O48"/>
      <c r="P48"/>
      <c r="Q48"/>
      <c r="R48"/>
      <c r="S48"/>
      <c r="T48"/>
      <c r="U48"/>
      <c r="V48"/>
      <c r="W48"/>
    </row>
    <row r="49" spans="1:23" s="45" customFormat="1" ht="15.75" x14ac:dyDescent="0.25">
      <c r="A49" s="57"/>
      <c r="B49" s="58"/>
      <c r="C49" s="43"/>
      <c r="D49" s="44"/>
      <c r="E49" s="44"/>
      <c r="F49" s="44"/>
      <c r="G49" s="44"/>
      <c r="H49" s="44"/>
      <c r="I49" s="44"/>
      <c r="J49" s="44"/>
      <c r="K49" s="44"/>
      <c r="L49" s="44"/>
      <c r="M49" s="44"/>
      <c r="N49" s="44"/>
      <c r="O49" s="44"/>
      <c r="P49" s="44"/>
      <c r="Q49" s="44"/>
      <c r="R49" s="44"/>
      <c r="S49" s="44"/>
      <c r="T49" s="44"/>
      <c r="U49" s="44"/>
      <c r="V49" s="44"/>
      <c r="W49" s="44"/>
    </row>
    <row r="50" spans="1:23" ht="165" x14ac:dyDescent="0.25">
      <c r="A50" s="54" t="s">
        <v>114</v>
      </c>
      <c r="B50" s="61">
        <f>IF(B31&gt;0,ROUNDUP(B31/(B48*B26),0),"No ESM partitions are required")</f>
        <v>358</v>
      </c>
      <c r="C50" s="98" t="s">
        <v>144</v>
      </c>
    </row>
    <row r="51" spans="1:23" x14ac:dyDescent="0.25">
      <c r="A51" s="54"/>
      <c r="B51" s="55"/>
      <c r="C51" s="96"/>
    </row>
    <row r="52" spans="1:23" ht="152.25" customHeight="1" x14ac:dyDescent="0.25">
      <c r="A52" s="54" t="s">
        <v>113</v>
      </c>
      <c r="B52" s="64">
        <f>IF(B31&gt;0,IF(ISTEXT(B50),"No ESM partitions are required", B50*1024*1024*1024),"No ESM partitions are required")</f>
        <v>384399572992</v>
      </c>
      <c r="C52" s="85" t="s">
        <v>145</v>
      </c>
    </row>
    <row r="53" spans="1:23" x14ac:dyDescent="0.25">
      <c r="A53" s="57"/>
      <c r="B53" s="58"/>
    </row>
    <row r="54" spans="1:23" ht="45" x14ac:dyDescent="0.25">
      <c r="A54" s="56" t="s">
        <v>78</v>
      </c>
      <c r="B54" s="64" t="str">
        <f>IF(B32&gt;0,IF(B32/(B18*0.001*86400)&lt;6,6,B32/(B18*0.001*86400)),"No CTH partitions are required")</f>
        <v>No CTH partitions are required</v>
      </c>
      <c r="C54" s="14" t="s">
        <v>75</v>
      </c>
      <c r="D54"/>
      <c r="E54"/>
      <c r="F54"/>
      <c r="G54"/>
      <c r="H54"/>
      <c r="I54"/>
      <c r="J54"/>
      <c r="K54"/>
      <c r="L54"/>
      <c r="M54"/>
      <c r="N54"/>
      <c r="O54"/>
      <c r="P54"/>
      <c r="Q54"/>
      <c r="R54"/>
      <c r="S54"/>
      <c r="T54"/>
      <c r="U54"/>
      <c r="V54"/>
      <c r="W54"/>
    </row>
    <row r="55" spans="1:23" s="45" customFormat="1" ht="15.75" x14ac:dyDescent="0.25">
      <c r="A55" s="57"/>
      <c r="B55" s="58"/>
      <c r="C55" s="43"/>
      <c r="D55" s="44"/>
      <c r="E55" s="44"/>
      <c r="F55" s="44"/>
      <c r="G55" s="44"/>
      <c r="H55" s="44"/>
      <c r="I55" s="44"/>
      <c r="J55" s="44"/>
      <c r="K55" s="44"/>
      <c r="L55" s="44"/>
      <c r="M55" s="44"/>
      <c r="N55" s="44"/>
      <c r="O55" s="44"/>
      <c r="P55" s="44"/>
      <c r="Q55" s="44"/>
      <c r="R55" s="44"/>
      <c r="S55" s="44"/>
      <c r="T55" s="44"/>
      <c r="U55" s="44"/>
      <c r="V55" s="44"/>
      <c r="W55" s="44"/>
    </row>
    <row r="56" spans="1:23" ht="165" x14ac:dyDescent="0.25">
      <c r="A56" s="54" t="s">
        <v>112</v>
      </c>
      <c r="B56" s="61" t="str">
        <f>IF(B32&gt;0,ROUNDUP(B32/(B54*B26),0),"No CTH partitions are required")</f>
        <v>No CTH partitions are required</v>
      </c>
      <c r="C56" s="98" t="s">
        <v>146</v>
      </c>
    </row>
    <row r="57" spans="1:23" x14ac:dyDescent="0.25">
      <c r="A57" s="54"/>
      <c r="B57" s="55"/>
      <c r="C57" s="96"/>
    </row>
    <row r="58" spans="1:23" ht="152.25" customHeight="1" x14ac:dyDescent="0.25">
      <c r="A58" s="54" t="s">
        <v>111</v>
      </c>
      <c r="B58" s="64" t="str">
        <f>IF(B32&gt;0,IF(ISTEXT(B56),"No CTH partitions are required", B56*1024*1024*1024),"No CTH partitions are required")</f>
        <v>No CTH partitions are required</v>
      </c>
      <c r="C58" s="85" t="s">
        <v>147</v>
      </c>
    </row>
    <row r="59" spans="1:23" ht="48" customHeight="1" x14ac:dyDescent="0.25">
      <c r="B59" s="66" t="str">
        <f>IF(ISTEXT(B35),IF(ISTEXT(B41),IF(ISTEXT(B47),IF(ISTEXT(B53),"Error in input parameters, see messages above",""),""),""),"")</f>
        <v/>
      </c>
    </row>
    <row r="60" spans="1:23" ht="90" customHeight="1" x14ac:dyDescent="0.25">
      <c r="A60" s="65" t="s">
        <v>108</v>
      </c>
      <c r="B60" s="66">
        <f>IF(B59&lt;&gt;"","Error in input parameters, see messages above",IF(ROUNDUP(B34/B8,0)&lt;50,50,ROUNDUP((B34/B8),0)))</f>
        <v>4646</v>
      </c>
      <c r="C60" s="38" t="s">
        <v>121</v>
      </c>
    </row>
    <row r="61" spans="1:23" x14ac:dyDescent="0.25">
      <c r="A61" s="51"/>
      <c r="B61" s="66"/>
      <c r="C61" s="47"/>
    </row>
    <row r="62" spans="1:23" ht="180" x14ac:dyDescent="0.25">
      <c r="A62" s="51" t="s">
        <v>52</v>
      </c>
      <c r="B62" s="67">
        <f>IF(ISTEXT(B60),"Error in input parameters, see messages above",IF(B60&lt;667,B60*15%,100) + (ROUNDUP(B29*0.2%,0)) + (ROUNDUP(B31*0.2%,0)) + (ROUNDUP(B32*0.2%,0)) + (ROUNDUP(B30*0.2%,0)) + B10)</f>
        <v>184</v>
      </c>
      <c r="C62" s="38" t="s">
        <v>73</v>
      </c>
    </row>
    <row r="63" spans="1:23" x14ac:dyDescent="0.25">
      <c r="A63" s="51"/>
      <c r="B63" s="59"/>
      <c r="C63" s="47"/>
    </row>
    <row r="64" spans="1:23" ht="102.75" customHeight="1" x14ac:dyDescent="0.25">
      <c r="A64" s="68" t="s">
        <v>106</v>
      </c>
      <c r="B64" s="69">
        <f>IF(ISTEXT(B60),"Error in input parameters, see messages above",B60+B62)</f>
        <v>4830</v>
      </c>
      <c r="C64" s="38" t="s">
        <v>109</v>
      </c>
    </row>
    <row r="65" spans="1:3" x14ac:dyDescent="0.25">
      <c r="A65" s="51"/>
      <c r="B65" s="62"/>
      <c r="C65" s="42"/>
    </row>
    <row r="66" spans="1:3" ht="49.5" customHeight="1" x14ac:dyDescent="0.25">
      <c r="A66" s="54" t="s">
        <v>107</v>
      </c>
      <c r="B66" s="61">
        <f>IF(ISTEXT(B60),"Error in input parameters, see messages above",B8*B64)</f>
        <v>24150</v>
      </c>
      <c r="C66" s="38" t="s">
        <v>110</v>
      </c>
    </row>
  </sheetData>
  <sheetProtection sheet="1" objects="1" scenarios="1" selectLockedCells="1"/>
  <conditionalFormatting sqref="B62">
    <cfRule type="containsText" dxfId="8" priority="9" operator="containsText" text="Error:">
      <formula>NOT(ISERROR(SEARCH("Error:",B62)))</formula>
    </cfRule>
  </conditionalFormatting>
  <conditionalFormatting sqref="B40">
    <cfRule type="containsText" dxfId="7" priority="8" operator="containsText" text="Not calculated">
      <formula>NOT(ISERROR(SEARCH("Not calculated",B40)))</formula>
    </cfRule>
  </conditionalFormatting>
  <conditionalFormatting sqref="B64">
    <cfRule type="cellIs" dxfId="6" priority="6" operator="equal">
      <formula>"Available Disk Space on Each Worker Node is Insufficient"</formula>
    </cfRule>
    <cfRule type="cellIs" dxfId="5" priority="7" operator="lessThanOrEqual">
      <formula>0</formula>
    </cfRule>
  </conditionalFormatting>
  <conditionalFormatting sqref="B46">
    <cfRule type="containsText" dxfId="4" priority="5" operator="containsText" text="Not calculated">
      <formula>NOT(ISERROR(SEARCH("Not calculated",B46)))</formula>
    </cfRule>
  </conditionalFormatting>
  <conditionalFormatting sqref="B63">
    <cfRule type="containsText" dxfId="3" priority="4" operator="containsText" text="Error:">
      <formula>NOT(ISERROR(SEARCH("Error:",B63)))</formula>
    </cfRule>
  </conditionalFormatting>
  <conditionalFormatting sqref="B52">
    <cfRule type="containsText" dxfId="2" priority="3" operator="containsText" text="Not calculated">
      <formula>NOT(ISERROR(SEARCH("Not calculated",B52)))</formula>
    </cfRule>
  </conditionalFormatting>
  <conditionalFormatting sqref="B58">
    <cfRule type="containsText" dxfId="1" priority="2" operator="containsText" text="Not calculated">
      <formula>NOT(ISERROR(SEARCH("Not calculated",B58)))</formula>
    </cfRule>
  </conditionalFormatting>
  <dataValidations count="10">
    <dataValidation type="decimal" operator="greaterThanOrEqual" allowBlank="1" showInputMessage="1" showErrorMessage="1" errorTitle="Minimum  of 1 Worker Node" error="Worker Nodes must be numeric and set to 1 or more" sqref="B8">
      <formula1>1</formula1>
    </dataValidation>
    <dataValidation type="whole" operator="greaterThanOrEqual" allowBlank="1" showInputMessage="1" showErrorMessage="1" errorTitle="Minimum of 1 Replica Required" error="A minimum of 1 Topic replica is required" sqref="B26">
      <formula1>1</formula1>
    </dataValidation>
    <dataValidation type="whole" operator="greaterThanOrEqual" allowBlank="1" showInputMessage="1" showErrorMessage="1" errorTitle="Minimum of 1:1 compression" error="A minimum compression ratio of 1:1 is required" sqref="B25">
      <formula1>1</formula1>
    </dataValidation>
    <dataValidation type="whole" operator="greaterThanOrEqual" allowBlank="1" showInputMessage="1" showErrorMessage="1" errorTitle="Minimum of 1 hour required" error="Kafka log retention must be set to 1 hour or more" sqref="B23">
      <formula1>1</formula1>
    </dataValidation>
    <dataValidation type="whole" operator="greaterThanOrEqual" allowBlank="1" showInputMessage="1" showErrorMessage="1" errorTitle="EPS rate must be zero or more" error="EPS rate must be numeric and set to zero or more" sqref="B19:B21">
      <formula1>0</formula1>
    </dataValidation>
    <dataValidation type="whole" operator="greaterThanOrEqual" allowBlank="1" showInputMessage="1" showErrorMessage="1" errorTitle="Minimum of 1 MB/sec required" error="A minimum value of 1 MB/sec is required" sqref="B18">
      <formula1>1</formula1>
    </dataValidation>
    <dataValidation type="whole" operator="greaterThanOrEqual" allowBlank="1" showInputMessage="1" showErrorMessage="1" errorTitle="Event size must be zero or more" error="Average event size must be numeric and zero or more " sqref="B14:B16">
      <formula1>0</formula1>
    </dataValidation>
    <dataValidation type="decimal" operator="greaterThanOrEqual" allowBlank="1" showInputMessage="1" showErrorMessage="1" errorTitle="Topics must be 0 or more" error="The number of Topics to model must be numeric and set to zero or more" sqref="B3:B6">
      <formula1>0</formula1>
    </dataValidation>
    <dataValidation type="whole" operator="greaterThan" allowBlank="1" showInputMessage="1" showErrorMessage="1" errorTitle="Minimum of 1 Vertica Node Needed" error="A minimum of 1 Vertica node is required" sqref="B12">
      <formula1>0</formula1>
    </dataValidation>
    <dataValidation type="whole" operator="greaterThanOrEqual" allowBlank="1" showInputMessage="1" showErrorMessage="1" errorTitle="Minimum value of 50 GB" error="Disk capacity must be numeric and set to 50 GB or more." sqref="B9">
      <formula1>50</formula1>
    </dataValidation>
  </dataValidations>
  <pageMargins left="0.7" right="0.7" top="0.75" bottom="0.75" header="0.3" footer="0.3"/>
  <pageSetup orientation="portrait" r:id="rId1"/>
  <ignoredErrors>
    <ignoredError sqref="B22" formulaRange="1"/>
    <ignoredError sqref="B7" unlockedFormula="1"/>
  </ignoredErrors>
  <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text="Error:" id="{D55AE0BC-EE4D-4A67-8835-43556302A04C}">
            <xm:f>NOT(ISERROR(SEARCH("Error:",'TH - Known Disk Size'!B10)))</xm:f>
            <x14:dxf>
              <font>
                <color rgb="FFFF0000"/>
              </font>
            </x14:dxf>
          </x14:cfRule>
          <xm:sqref>B10</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workbookViewId="0">
      <selection activeCell="B2" sqref="B2"/>
    </sheetView>
  </sheetViews>
  <sheetFormatPr defaultRowHeight="15" x14ac:dyDescent="0.25"/>
  <cols>
    <col min="1" max="1" width="30.42578125" customWidth="1"/>
    <col min="2" max="2" width="18.42578125" customWidth="1"/>
    <col min="3" max="3" width="36.140625" customWidth="1"/>
    <col min="4" max="4" width="19.85546875" customWidth="1"/>
    <col min="5" max="5" width="15.5703125" customWidth="1"/>
  </cols>
  <sheetData>
    <row r="1" spans="1:8" ht="21" x14ac:dyDescent="0.35">
      <c r="A1" s="15" t="s">
        <v>8</v>
      </c>
      <c r="B1" s="4"/>
      <c r="C1" s="4"/>
      <c r="D1" s="4"/>
      <c r="E1" s="4"/>
    </row>
    <row r="2" spans="1:8" ht="43.5" customHeight="1" x14ac:dyDescent="0.3">
      <c r="A2" s="107" t="s">
        <v>21</v>
      </c>
      <c r="B2" s="108">
        <v>200</v>
      </c>
    </row>
    <row r="3" spans="1:8" ht="15.75" thickBot="1" x14ac:dyDescent="0.3"/>
    <row r="4" spans="1:8" ht="45.75" thickBot="1" x14ac:dyDescent="0.3">
      <c r="B4" s="16" t="s">
        <v>9</v>
      </c>
      <c r="C4" s="17" t="s">
        <v>10</v>
      </c>
      <c r="D4" s="18" t="s">
        <v>22</v>
      </c>
      <c r="E4" s="25" t="s">
        <v>20</v>
      </c>
    </row>
    <row r="5" spans="1:8" ht="16.5" thickBot="1" x14ac:dyDescent="0.3">
      <c r="B5" s="19" t="s">
        <v>11</v>
      </c>
      <c r="C5" s="20" t="s">
        <v>12</v>
      </c>
      <c r="D5" s="26">
        <v>0.05</v>
      </c>
      <c r="E5" s="30">
        <f>D5*$B$2</f>
        <v>10</v>
      </c>
      <c r="H5" s="24"/>
    </row>
    <row r="6" spans="1:8" ht="16.5" thickBot="1" x14ac:dyDescent="0.3">
      <c r="B6" s="21" t="s">
        <v>13</v>
      </c>
      <c r="C6" s="22" t="s">
        <v>23</v>
      </c>
      <c r="D6" s="27">
        <v>0.65</v>
      </c>
      <c r="E6" s="30">
        <f>D6*$B$2</f>
        <v>130</v>
      </c>
      <c r="H6" s="24"/>
    </row>
    <row r="7" spans="1:8" ht="16.5" thickBot="1" x14ac:dyDescent="0.3">
      <c r="B7" s="19" t="s">
        <v>14</v>
      </c>
      <c r="C7" s="20" t="s">
        <v>15</v>
      </c>
      <c r="D7" s="26">
        <v>0.05</v>
      </c>
      <c r="E7" s="30">
        <f>D7*$B$2</f>
        <v>10</v>
      </c>
      <c r="H7" s="24"/>
    </row>
    <row r="8" spans="1:8" ht="16.5" thickBot="1" x14ac:dyDescent="0.3">
      <c r="B8" s="21" t="s">
        <v>16</v>
      </c>
      <c r="C8" s="22" t="s">
        <v>17</v>
      </c>
      <c r="D8" s="27">
        <v>0.2</v>
      </c>
      <c r="E8" s="30">
        <f>D8*$B$2</f>
        <v>40</v>
      </c>
      <c r="H8" s="24"/>
    </row>
    <row r="9" spans="1:8" ht="16.5" thickBot="1" x14ac:dyDescent="0.3">
      <c r="B9" s="19" t="s">
        <v>18</v>
      </c>
      <c r="C9" s="20" t="s">
        <v>19</v>
      </c>
      <c r="D9" s="26">
        <v>0.05</v>
      </c>
      <c r="E9" s="30">
        <f>D9*$B$2</f>
        <v>10</v>
      </c>
      <c r="H9" s="24"/>
    </row>
    <row r="10" spans="1:8" x14ac:dyDescent="0.25">
      <c r="B10" s="3"/>
      <c r="D10" s="23"/>
      <c r="H10" s="24"/>
    </row>
    <row r="11" spans="1:8" x14ac:dyDescent="0.25">
      <c r="B11" s="3"/>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
  <sheetViews>
    <sheetView workbookViewId="0">
      <selection activeCell="C6" sqref="C6"/>
    </sheetView>
  </sheetViews>
  <sheetFormatPr defaultColWidth="9.140625" defaultRowHeight="15" x14ac:dyDescent="0.25"/>
  <cols>
    <col min="1" max="1" width="9.140625" style="6"/>
    <col min="2" max="2" width="18.5703125" style="6" customWidth="1"/>
    <col min="3" max="3" width="19.140625" style="6" customWidth="1"/>
    <col min="4" max="4" width="21.42578125" style="6" customWidth="1"/>
    <col min="5" max="5" width="15" style="6" customWidth="1"/>
    <col min="6" max="6" width="12.140625" style="6" customWidth="1"/>
    <col min="7" max="7" width="14.5703125" style="6" customWidth="1"/>
    <col min="8" max="16384" width="9.140625" style="6"/>
  </cols>
  <sheetData>
    <row r="1" spans="2:7" ht="15.75" thickBot="1" x14ac:dyDescent="0.3"/>
    <row r="2" spans="2:7" ht="15.75" customHeight="1" x14ac:dyDescent="0.25">
      <c r="B2" s="109" t="s">
        <v>3</v>
      </c>
      <c r="C2" s="7"/>
      <c r="D2" s="7"/>
      <c r="E2" s="112" t="s">
        <v>149</v>
      </c>
      <c r="F2" s="112" t="s">
        <v>4</v>
      </c>
      <c r="G2" s="115" t="s">
        <v>6</v>
      </c>
    </row>
    <row r="3" spans="2:7" ht="126" x14ac:dyDescent="0.25">
      <c r="B3" s="110"/>
      <c r="C3" s="8" t="s">
        <v>151</v>
      </c>
      <c r="D3" s="8" t="s">
        <v>150</v>
      </c>
      <c r="E3" s="113"/>
      <c r="F3" s="113"/>
      <c r="G3" s="116"/>
    </row>
    <row r="4" spans="2:7" ht="16.5" thickBot="1" x14ac:dyDescent="0.3">
      <c r="B4" s="111"/>
      <c r="C4" s="9"/>
      <c r="D4" s="10"/>
      <c r="E4" s="114"/>
      <c r="F4" s="114"/>
      <c r="G4" s="117"/>
    </row>
    <row r="5" spans="2:7" ht="48" thickBot="1" x14ac:dyDescent="0.3">
      <c r="B5" s="11" t="s">
        <v>2</v>
      </c>
      <c r="C5" s="12" t="s">
        <v>152</v>
      </c>
      <c r="D5" s="13" t="s">
        <v>148</v>
      </c>
      <c r="E5" s="13">
        <v>16</v>
      </c>
      <c r="F5" s="12" t="s">
        <v>5</v>
      </c>
      <c r="G5" s="12">
        <v>200</v>
      </c>
    </row>
  </sheetData>
  <mergeCells count="4">
    <mergeCell ref="B2:B4"/>
    <mergeCell ref="E2:E4"/>
    <mergeCell ref="F2:F4"/>
    <mergeCell ref="G2:G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Introduction</vt:lpstr>
      <vt:lpstr>Change Log</vt:lpstr>
      <vt:lpstr>TH - Known Disk Size</vt:lpstr>
      <vt:lpstr>TH - Known # Workers</vt:lpstr>
      <vt:lpstr>Investigate - Known Disk size</vt:lpstr>
      <vt:lpstr>Investigate - Known # Workers</vt:lpstr>
      <vt:lpstr>NFS Storage</vt:lpstr>
      <vt:lpstr>Master Nodes</vt:lpstr>
    </vt:vector>
  </TitlesOfParts>
  <Company>Hewlett 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Kishan Thomas</dc:creator>
  <cp:lastModifiedBy>dalesio</cp:lastModifiedBy>
  <dcterms:created xsi:type="dcterms:W3CDTF">2017-11-01T16:40:37Z</dcterms:created>
  <dcterms:modified xsi:type="dcterms:W3CDTF">2020-07-24T12:10:34Z</dcterms:modified>
</cp:coreProperties>
</file>